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705" yWindow="1515" windowWidth="25605" windowHeight="14460" tabRatio="788"/>
  </bookViews>
  <sheets>
    <sheet name="Úvod" sheetId="5" r:id="rId1"/>
    <sheet name="CBA - Agendové IS" sheetId="2" r:id="rId2"/>
    <sheet name="Analyza citlivosti - AgendovéIS" sheetId="7" r:id="rId3"/>
    <sheet name="Prínosy - Agendové IS" sheetId="4" r:id="rId4"/>
    <sheet name="Výdavky - Agendové IS" sheetId="6" r:id="rId5"/>
    <sheet name="Spotrebované cloudové služby" sheetId="8" r:id="rId6"/>
    <sheet name="Parametre - Agendové IS" sheetId="3" r:id="rId7"/>
    <sheet name="TCO" sheetId="11" r:id="rId8"/>
    <sheet name="TCO - SW" sheetId="9" r:id="rId9"/>
    <sheet name="TCO - HW" sheetId="10" r:id="rId10"/>
    <sheet name="Faktory" sheetId="1" r:id="rId11"/>
    <sheet name="Fazovane CBA" sheetId="18" r:id="rId12"/>
    <sheet name="Indikatívny rozpočet" sheetId="17" r:id="rId13"/>
    <sheet name="Kvalitatívne prínosy" sheetId="16" r:id="rId14"/>
  </sheets>
  <calcPr calcId="162913" concurrentCalc="0"/>
  <fileRecoveryPr autoRecover="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32" i="3" l="1"/>
  <c r="J23" i="3"/>
  <c r="R28" i="3"/>
  <c r="I32" i="3"/>
  <c r="I23" i="3"/>
  <c r="Q28" i="3"/>
  <c r="I12" i="3"/>
  <c r="I7" i="3"/>
  <c r="I8" i="3"/>
  <c r="I9" i="3"/>
  <c r="I10" i="3"/>
  <c r="I11" i="3"/>
  <c r="J12" i="3"/>
  <c r="J6" i="3"/>
  <c r="J7" i="3"/>
  <c r="J8" i="3"/>
  <c r="J9" i="3"/>
  <c r="J10" i="3"/>
  <c r="J11" i="3"/>
  <c r="J5" i="3"/>
  <c r="J4" i="3"/>
  <c r="J3" i="3"/>
  <c r="I6" i="3"/>
  <c r="I5" i="3"/>
  <c r="I4" i="3"/>
  <c r="I3" i="3"/>
  <c r="G3" i="3"/>
  <c r="J31" i="3"/>
  <c r="I31" i="3"/>
  <c r="J30" i="3"/>
  <c r="I30" i="3"/>
  <c r="J29" i="3"/>
  <c r="I29" i="3"/>
  <c r="J28" i="3"/>
  <c r="I28" i="3"/>
  <c r="J27" i="3"/>
  <c r="I27" i="3"/>
  <c r="J26" i="3"/>
  <c r="I26" i="3"/>
  <c r="J25" i="3"/>
  <c r="I25" i="3"/>
  <c r="J24" i="3"/>
  <c r="I24" i="3"/>
  <c r="H12" i="3"/>
  <c r="G12" i="3"/>
  <c r="H5" i="3"/>
  <c r="H6" i="3"/>
  <c r="H7" i="3"/>
  <c r="H8" i="3"/>
  <c r="H9" i="3"/>
  <c r="H10" i="3"/>
  <c r="H11" i="3"/>
  <c r="H4" i="3"/>
  <c r="H3" i="3"/>
  <c r="G5" i="3"/>
  <c r="G6" i="3"/>
  <c r="G7" i="3"/>
  <c r="G8" i="3"/>
  <c r="G9" i="3"/>
  <c r="G10" i="3"/>
  <c r="G11" i="3"/>
  <c r="G4" i="3"/>
  <c r="O3" i="3"/>
  <c r="E4" i="3"/>
  <c r="O33" i="3"/>
  <c r="H34" i="3"/>
  <c r="E34" i="3"/>
  <c r="G34" i="3"/>
  <c r="D34" i="3"/>
  <c r="D11" i="1"/>
  <c r="I5" i="4"/>
  <c r="H42" i="3"/>
  <c r="H41" i="3"/>
  <c r="H40" i="3"/>
  <c r="H39" i="3"/>
  <c r="H38" i="3"/>
  <c r="H37" i="3"/>
  <c r="H36" i="3"/>
  <c r="H35" i="3"/>
  <c r="H33" i="3"/>
  <c r="G42" i="3"/>
  <c r="G41" i="3"/>
  <c r="G40" i="3"/>
  <c r="G39" i="3"/>
  <c r="G38" i="3"/>
  <c r="G37" i="3"/>
  <c r="G36" i="3"/>
  <c r="G35" i="3"/>
  <c r="G33" i="3"/>
  <c r="P38" i="3"/>
  <c r="O38" i="3"/>
  <c r="E22" i="18"/>
  <c r="E9" i="18"/>
  <c r="E35" i="18"/>
  <c r="F22" i="18"/>
  <c r="F9" i="18"/>
  <c r="F35" i="18"/>
  <c r="G22" i="18"/>
  <c r="G9" i="18"/>
  <c r="G35" i="18"/>
  <c r="H22" i="18"/>
  <c r="H9" i="18"/>
  <c r="H35" i="18"/>
  <c r="I22" i="18"/>
  <c r="I9" i="18"/>
  <c r="I35" i="18"/>
  <c r="J22" i="18"/>
  <c r="J9" i="18"/>
  <c r="J35" i="18"/>
  <c r="K22" i="18"/>
  <c r="K9" i="18"/>
  <c r="K35" i="18"/>
  <c r="D22" i="18"/>
  <c r="D9" i="18"/>
  <c r="D35" i="18"/>
  <c r="E33" i="3"/>
  <c r="E3" i="3"/>
  <c r="D33" i="3"/>
  <c r="I4" i="4"/>
  <c r="B19" i="18"/>
  <c r="B20" i="18"/>
  <c r="C19" i="18"/>
  <c r="BJ5" i="17"/>
  <c r="BJ6" i="17"/>
  <c r="BJ7" i="17"/>
  <c r="BJ8" i="17"/>
  <c r="BJ9" i="17"/>
  <c r="BJ10" i="17"/>
  <c r="BJ11" i="17"/>
  <c r="BJ12" i="17"/>
  <c r="BJ13" i="17"/>
  <c r="BJ14" i="17"/>
  <c r="BJ15" i="17"/>
  <c r="BJ16" i="17"/>
  <c r="BJ17" i="17"/>
  <c r="BJ18" i="17"/>
  <c r="BJ19" i="17"/>
  <c r="BJ21" i="17"/>
  <c r="BJ22" i="17"/>
  <c r="BJ23" i="17"/>
  <c r="BJ24" i="17"/>
  <c r="BJ25" i="17"/>
  <c r="BJ26" i="17"/>
  <c r="BJ28" i="17"/>
  <c r="BJ29" i="17"/>
  <c r="BJ30" i="17"/>
  <c r="BJ31" i="17"/>
  <c r="BJ32" i="17"/>
  <c r="BJ33" i="17"/>
  <c r="BJ34" i="17"/>
  <c r="BJ35" i="17"/>
  <c r="BJ36" i="17"/>
  <c r="BJ37" i="17"/>
  <c r="BJ38" i="17"/>
  <c r="BJ39" i="17"/>
  <c r="BJ41" i="17"/>
  <c r="BJ42" i="17"/>
  <c r="BJ43" i="17"/>
  <c r="BJ44" i="17"/>
  <c r="BJ45" i="17"/>
  <c r="BJ46" i="17"/>
  <c r="BJ47" i="17"/>
  <c r="BJ48" i="17"/>
  <c r="BJ49" i="17"/>
  <c r="BJ50" i="17"/>
  <c r="BJ51" i="17"/>
  <c r="BJ52" i="17"/>
  <c r="BJ53" i="17"/>
  <c r="BJ54" i="17"/>
  <c r="C17" i="18"/>
  <c r="BI5" i="17"/>
  <c r="BI6" i="17"/>
  <c r="BI7" i="17"/>
  <c r="BI8" i="17"/>
  <c r="BI9" i="17"/>
  <c r="BI10" i="17"/>
  <c r="BI11" i="17"/>
  <c r="BI12" i="17"/>
  <c r="BI13" i="17"/>
  <c r="BI14" i="17"/>
  <c r="BI15" i="17"/>
  <c r="BI16" i="17"/>
  <c r="BI17" i="17"/>
  <c r="BI18" i="17"/>
  <c r="BI19" i="17"/>
  <c r="BI21" i="17"/>
  <c r="BI22" i="17"/>
  <c r="BI23" i="17"/>
  <c r="BI24" i="17"/>
  <c r="BI25" i="17"/>
  <c r="BI26" i="17"/>
  <c r="BI28" i="17"/>
  <c r="BI29" i="17"/>
  <c r="BI30" i="17"/>
  <c r="BI31" i="17"/>
  <c r="BI32" i="17"/>
  <c r="BI33" i="17"/>
  <c r="BI34" i="17"/>
  <c r="BI35" i="17"/>
  <c r="BI36" i="17"/>
  <c r="BI37" i="17"/>
  <c r="BI38" i="17"/>
  <c r="BI39" i="17"/>
  <c r="BI41" i="17"/>
  <c r="BI42" i="17"/>
  <c r="BI43" i="17"/>
  <c r="BI44" i="17"/>
  <c r="BI45" i="17"/>
  <c r="BI46" i="17"/>
  <c r="BI47" i="17"/>
  <c r="BI48" i="17"/>
  <c r="BI49" i="17"/>
  <c r="BI50" i="17"/>
  <c r="BI51" i="17"/>
  <c r="BI52" i="17"/>
  <c r="BI53" i="17"/>
  <c r="BI54" i="17"/>
  <c r="B4" i="18"/>
  <c r="C18" i="18"/>
  <c r="C20" i="18"/>
  <c r="E35" i="3"/>
  <c r="E5" i="3"/>
  <c r="D35" i="3"/>
  <c r="I6" i="4"/>
  <c r="D19" i="18"/>
  <c r="D17" i="18"/>
  <c r="D18" i="18"/>
  <c r="D20" i="18"/>
  <c r="E36" i="3"/>
  <c r="E6" i="3"/>
  <c r="D36" i="3"/>
  <c r="I7" i="4"/>
  <c r="E19" i="18"/>
  <c r="E18" i="18"/>
  <c r="E20" i="18"/>
  <c r="E37" i="3"/>
  <c r="E7" i="3"/>
  <c r="D37" i="3"/>
  <c r="I8" i="4"/>
  <c r="F19" i="18"/>
  <c r="F18" i="18"/>
  <c r="F20" i="18"/>
  <c r="E38" i="3"/>
  <c r="E8" i="3"/>
  <c r="D38" i="3"/>
  <c r="I9" i="4"/>
  <c r="G19" i="18"/>
  <c r="G18" i="18"/>
  <c r="G20" i="18"/>
  <c r="E39" i="3"/>
  <c r="E9" i="3"/>
  <c r="D39" i="3"/>
  <c r="I10" i="4"/>
  <c r="H19" i="18"/>
  <c r="H18" i="18"/>
  <c r="H20" i="18"/>
  <c r="E40" i="3"/>
  <c r="E10" i="3"/>
  <c r="D40" i="3"/>
  <c r="I11" i="4"/>
  <c r="I19" i="18"/>
  <c r="I18" i="18"/>
  <c r="I20" i="18"/>
  <c r="E41" i="3"/>
  <c r="E11" i="3"/>
  <c r="D41" i="3"/>
  <c r="I12" i="4"/>
  <c r="J19" i="18"/>
  <c r="J18" i="18"/>
  <c r="J20" i="18"/>
  <c r="E42" i="3"/>
  <c r="E12" i="3"/>
  <c r="D42" i="3"/>
  <c r="I13" i="4"/>
  <c r="K19" i="18"/>
  <c r="K18" i="18"/>
  <c r="K20" i="18"/>
  <c r="N15" i="18"/>
  <c r="B32" i="18"/>
  <c r="B33" i="18"/>
  <c r="C32" i="18"/>
  <c r="C31" i="18"/>
  <c r="C33" i="18"/>
  <c r="D32" i="18"/>
  <c r="BK4" i="17"/>
  <c r="BK5" i="17"/>
  <c r="BK6" i="17"/>
  <c r="BK7" i="17"/>
  <c r="BK8" i="17"/>
  <c r="BK9" i="17"/>
  <c r="BK10" i="17"/>
  <c r="BK11" i="17"/>
  <c r="BK12" i="17"/>
  <c r="BK13" i="17"/>
  <c r="BK14" i="17"/>
  <c r="BK15" i="17"/>
  <c r="BK16" i="17"/>
  <c r="BK17" i="17"/>
  <c r="BK18" i="17"/>
  <c r="BK19" i="17"/>
  <c r="BK21" i="17"/>
  <c r="BK22" i="17"/>
  <c r="BK23" i="17"/>
  <c r="BK24" i="17"/>
  <c r="BK25" i="17"/>
  <c r="BK26" i="17"/>
  <c r="BK28" i="17"/>
  <c r="BK29" i="17"/>
  <c r="BK30" i="17"/>
  <c r="BK31" i="17"/>
  <c r="BK32" i="17"/>
  <c r="BK33" i="17"/>
  <c r="BK34" i="17"/>
  <c r="BK35" i="17"/>
  <c r="BK36" i="17"/>
  <c r="BK37" i="17"/>
  <c r="BK38" i="17"/>
  <c r="BK39" i="17"/>
  <c r="BK41" i="17"/>
  <c r="BK42" i="17"/>
  <c r="BK43" i="17"/>
  <c r="BK44" i="17"/>
  <c r="BK45" i="17"/>
  <c r="BK46" i="17"/>
  <c r="BK47" i="17"/>
  <c r="BK48" i="17"/>
  <c r="BK49" i="17"/>
  <c r="BK50" i="17"/>
  <c r="BK51" i="17"/>
  <c r="BK52" i="17"/>
  <c r="BK53" i="17"/>
  <c r="BK54" i="17"/>
  <c r="D30" i="18"/>
  <c r="D31" i="18"/>
  <c r="D33" i="18"/>
  <c r="E32" i="18"/>
  <c r="E30" i="18"/>
  <c r="E31" i="18"/>
  <c r="E33" i="18"/>
  <c r="F32" i="18"/>
  <c r="F31" i="18"/>
  <c r="F33" i="18"/>
  <c r="G32" i="18"/>
  <c r="G31" i="18"/>
  <c r="G33" i="18"/>
  <c r="H32" i="18"/>
  <c r="H31" i="18"/>
  <c r="H33" i="18"/>
  <c r="I32" i="18"/>
  <c r="I31" i="18"/>
  <c r="I33" i="18"/>
  <c r="J32" i="18"/>
  <c r="J31" i="18"/>
  <c r="J33" i="18"/>
  <c r="K32" i="18"/>
  <c r="K31" i="18"/>
  <c r="K33" i="18"/>
  <c r="N29" i="18"/>
  <c r="N28" i="18"/>
  <c r="N16" i="18"/>
  <c r="B6" i="18"/>
  <c r="B7" i="18"/>
  <c r="C6" i="18"/>
  <c r="C5" i="18"/>
  <c r="C7" i="18"/>
  <c r="D6" i="18"/>
  <c r="D5" i="18"/>
  <c r="D7" i="18"/>
  <c r="E6" i="18"/>
  <c r="E5" i="18"/>
  <c r="E7" i="18"/>
  <c r="F6" i="18"/>
  <c r="F5" i="18"/>
  <c r="F7" i="18"/>
  <c r="G6" i="18"/>
  <c r="G5" i="18"/>
  <c r="G7" i="18"/>
  <c r="H6" i="18"/>
  <c r="H5" i="18"/>
  <c r="H7" i="18"/>
  <c r="I6" i="18"/>
  <c r="I5" i="18"/>
  <c r="I7" i="18"/>
  <c r="J6" i="18"/>
  <c r="J5" i="18"/>
  <c r="J7" i="18"/>
  <c r="K6" i="18"/>
  <c r="K5" i="18"/>
  <c r="K7" i="18"/>
  <c r="N2" i="18"/>
  <c r="N3" i="18"/>
  <c r="K34" i="18"/>
  <c r="K36" i="18"/>
  <c r="J34" i="18"/>
  <c r="J36" i="18"/>
  <c r="I34" i="18"/>
  <c r="I36" i="18"/>
  <c r="H34" i="18"/>
  <c r="H36" i="18"/>
  <c r="G34" i="18"/>
  <c r="G36" i="18"/>
  <c r="F34" i="18"/>
  <c r="F36" i="18"/>
  <c r="E34" i="18"/>
  <c r="E36" i="18"/>
  <c r="D34" i="18"/>
  <c r="D36" i="18"/>
  <c r="C34" i="18"/>
  <c r="C36" i="18"/>
  <c r="B34" i="18"/>
  <c r="B36" i="18"/>
  <c r="B37" i="18"/>
  <c r="C37" i="18"/>
  <c r="D37" i="18"/>
  <c r="E37" i="18"/>
  <c r="F37" i="18"/>
  <c r="G37" i="18"/>
  <c r="H37" i="18"/>
  <c r="I37" i="18"/>
  <c r="J37" i="18"/>
  <c r="K37" i="18"/>
  <c r="K21" i="18"/>
  <c r="K23" i="18"/>
  <c r="J21" i="18"/>
  <c r="J23" i="18"/>
  <c r="I21" i="18"/>
  <c r="I23" i="18"/>
  <c r="H21" i="18"/>
  <c r="H23" i="18"/>
  <c r="G21" i="18"/>
  <c r="G23" i="18"/>
  <c r="F21" i="18"/>
  <c r="F23" i="18"/>
  <c r="E21" i="18"/>
  <c r="E23" i="18"/>
  <c r="D21" i="18"/>
  <c r="D23" i="18"/>
  <c r="C21" i="18"/>
  <c r="C23" i="18"/>
  <c r="B21" i="18"/>
  <c r="B23" i="18"/>
  <c r="B24" i="18"/>
  <c r="C24" i="18"/>
  <c r="D24" i="18"/>
  <c r="E24" i="18"/>
  <c r="F24" i="18"/>
  <c r="G24" i="18"/>
  <c r="H24" i="18"/>
  <c r="I24" i="18"/>
  <c r="J24" i="18"/>
  <c r="K24" i="18"/>
  <c r="J4" i="4"/>
  <c r="O53" i="3"/>
  <c r="L53" i="3"/>
  <c r="E53" i="3"/>
  <c r="O4" i="4"/>
  <c r="K53" i="3"/>
  <c r="D53" i="3"/>
  <c r="N4" i="4"/>
  <c r="P4" i="4"/>
  <c r="O13" i="3"/>
  <c r="E13" i="3"/>
  <c r="C4" i="4"/>
  <c r="R4" i="4"/>
  <c r="D8" i="18"/>
  <c r="E8" i="18"/>
  <c r="F8" i="18"/>
  <c r="G8" i="18"/>
  <c r="H8" i="18"/>
  <c r="I8" i="18"/>
  <c r="J8" i="18"/>
  <c r="K8" i="18"/>
  <c r="C8" i="18"/>
  <c r="B8" i="18"/>
  <c r="B10" i="18"/>
  <c r="B11" i="18"/>
  <c r="K10" i="18"/>
  <c r="J10" i="18"/>
  <c r="I10" i="18"/>
  <c r="H10" i="18"/>
  <c r="G10" i="18"/>
  <c r="F10" i="18"/>
  <c r="E10" i="18"/>
  <c r="D10" i="18"/>
  <c r="C10" i="18"/>
  <c r="C11" i="18"/>
  <c r="D11" i="18"/>
  <c r="E11" i="18"/>
  <c r="F11" i="18"/>
  <c r="G11" i="18"/>
  <c r="H11" i="18"/>
  <c r="I11" i="18"/>
  <c r="J11" i="18"/>
  <c r="K11" i="18"/>
  <c r="BL54" i="17"/>
  <c r="L61" i="3"/>
  <c r="L62" i="3"/>
  <c r="L60" i="3"/>
  <c r="L59" i="3"/>
  <c r="L58" i="3"/>
  <c r="L57" i="3"/>
  <c r="L56" i="3"/>
  <c r="L55" i="3"/>
  <c r="K55" i="3"/>
  <c r="K56" i="3"/>
  <c r="K57" i="3"/>
  <c r="K58" i="3"/>
  <c r="K59" i="3"/>
  <c r="K60" i="3"/>
  <c r="K61" i="3"/>
  <c r="L54" i="3"/>
  <c r="K54" i="3"/>
  <c r="F27" i="9"/>
  <c r="F26" i="9"/>
  <c r="F88" i="9"/>
  <c r="F84" i="9"/>
  <c r="F85" i="9"/>
  <c r="F86" i="9"/>
  <c r="F87" i="9"/>
  <c r="F83" i="9"/>
  <c r="O23" i="3"/>
  <c r="E24" i="3"/>
  <c r="E26" i="9"/>
  <c r="E27" i="9"/>
  <c r="F28" i="9"/>
  <c r="E28" i="9"/>
  <c r="F29" i="9"/>
  <c r="E29" i="9"/>
  <c r="E30" i="9"/>
  <c r="E31" i="9"/>
  <c r="E32" i="9"/>
  <c r="E33" i="9"/>
  <c r="E34" i="9"/>
  <c r="E35" i="9"/>
  <c r="E36" i="9"/>
  <c r="E37" i="9"/>
  <c r="E38" i="9"/>
  <c r="E39" i="9"/>
  <c r="E40" i="9"/>
  <c r="E41" i="9"/>
  <c r="E42" i="9"/>
  <c r="E43" i="9"/>
  <c r="E44" i="9"/>
  <c r="E45" i="9"/>
  <c r="E46" i="9"/>
  <c r="E47" i="9"/>
  <c r="E48" i="9"/>
  <c r="E49" i="9"/>
  <c r="E50" i="9"/>
  <c r="E51" i="9"/>
  <c r="E52" i="9"/>
  <c r="E53" i="9"/>
  <c r="E54" i="9"/>
  <c r="E55" i="9"/>
  <c r="E25" i="9"/>
  <c r="E58" i="9"/>
  <c r="E59" i="9"/>
  <c r="E60" i="9"/>
  <c r="E61" i="9"/>
  <c r="E62" i="9"/>
  <c r="E63" i="9"/>
  <c r="E64" i="9"/>
  <c r="E65" i="9"/>
  <c r="E66" i="9"/>
  <c r="E67" i="9"/>
  <c r="E68" i="9"/>
  <c r="E69" i="9"/>
  <c r="E70" i="9"/>
  <c r="E71" i="9"/>
  <c r="E72" i="9"/>
  <c r="E74" i="9"/>
  <c r="E75" i="9"/>
  <c r="E76" i="9"/>
  <c r="E77" i="9"/>
  <c r="E73" i="9"/>
  <c r="E79" i="9"/>
  <c r="E80" i="9"/>
  <c r="E81" i="9"/>
  <c r="E82" i="9"/>
  <c r="E83" i="9"/>
  <c r="E85" i="9"/>
  <c r="E86" i="9"/>
  <c r="E87" i="9"/>
  <c r="E88" i="9"/>
  <c r="E84" i="9"/>
  <c r="E89" i="9"/>
  <c r="E90" i="9"/>
  <c r="E91" i="9"/>
  <c r="E92" i="9"/>
  <c r="E93" i="9"/>
  <c r="E94" i="9"/>
  <c r="E95" i="9"/>
  <c r="E96" i="9"/>
  <c r="E98" i="9"/>
  <c r="E97" i="9"/>
  <c r="E119" i="9"/>
  <c r="E120" i="9"/>
  <c r="E121" i="9"/>
  <c r="E122" i="9"/>
  <c r="F25" i="9"/>
  <c r="F4" i="9"/>
  <c r="F3" i="9"/>
  <c r="H3" i="8"/>
  <c r="J3" i="8"/>
  <c r="N3" i="8"/>
  <c r="E3" i="8"/>
  <c r="L4" i="4"/>
  <c r="U4" i="4"/>
  <c r="E23" i="3"/>
  <c r="O43" i="3"/>
  <c r="E43" i="3"/>
  <c r="D7" i="1"/>
  <c r="O4" i="6"/>
  <c r="E4" i="10"/>
  <c r="E14" i="10"/>
  <c r="E24" i="10"/>
  <c r="D11" i="11"/>
  <c r="E35" i="10"/>
  <c r="E45" i="10"/>
  <c r="E55" i="10"/>
  <c r="E65" i="10"/>
  <c r="E75" i="10"/>
  <c r="D12" i="11"/>
  <c r="C4" i="6"/>
  <c r="E5" i="9"/>
  <c r="E15" i="9"/>
  <c r="D7" i="11"/>
  <c r="D8" i="11"/>
  <c r="F4" i="6"/>
  <c r="D9" i="11"/>
  <c r="E99" i="9"/>
  <c r="E109" i="9"/>
  <c r="D10" i="11"/>
  <c r="I4" i="6"/>
  <c r="L4" i="6"/>
  <c r="R4" i="6"/>
  <c r="F4" i="2"/>
  <c r="G3" i="8"/>
  <c r="I3" i="8"/>
  <c r="D3" i="8"/>
  <c r="K4" i="4"/>
  <c r="D3" i="3"/>
  <c r="D13" i="3"/>
  <c r="B4" i="4"/>
  <c r="Q4" i="4"/>
  <c r="T4" i="4"/>
  <c r="B4" i="6"/>
  <c r="E4" i="6"/>
  <c r="D22" i="11"/>
  <c r="D24" i="11"/>
  <c r="H4" i="6"/>
  <c r="K4" i="6"/>
  <c r="D23" i="3"/>
  <c r="D43" i="3"/>
  <c r="N4" i="6"/>
  <c r="Q4" i="6"/>
  <c r="E4" i="2"/>
  <c r="G4" i="2"/>
  <c r="E14" i="3"/>
  <c r="C5" i="4"/>
  <c r="R5" i="4"/>
  <c r="E54" i="3"/>
  <c r="O5" i="4"/>
  <c r="H4" i="8"/>
  <c r="J4" i="8"/>
  <c r="N4" i="8"/>
  <c r="E4" i="8"/>
  <c r="L5" i="4"/>
  <c r="U5" i="4"/>
  <c r="E44" i="3"/>
  <c r="O5" i="6"/>
  <c r="E5" i="10"/>
  <c r="E15" i="10"/>
  <c r="E25" i="10"/>
  <c r="E11" i="11"/>
  <c r="E36" i="10"/>
  <c r="E46" i="10"/>
  <c r="E56" i="10"/>
  <c r="E66" i="10"/>
  <c r="E76" i="10"/>
  <c r="E12" i="11"/>
  <c r="C5" i="6"/>
  <c r="E6" i="9"/>
  <c r="E16" i="9"/>
  <c r="E7" i="11"/>
  <c r="E8" i="11"/>
  <c r="F5" i="6"/>
  <c r="E9" i="11"/>
  <c r="E100" i="9"/>
  <c r="E110" i="9"/>
  <c r="E10" i="11"/>
  <c r="I5" i="6"/>
  <c r="L5" i="6"/>
  <c r="R5" i="6"/>
  <c r="F5" i="2"/>
  <c r="G4" i="8"/>
  <c r="I4" i="8"/>
  <c r="D4" i="8"/>
  <c r="K5" i="4"/>
  <c r="D54" i="3"/>
  <c r="N5" i="4"/>
  <c r="D4" i="3"/>
  <c r="D14" i="3"/>
  <c r="B5" i="4"/>
  <c r="Q5" i="4"/>
  <c r="T5" i="4"/>
  <c r="B5" i="6"/>
  <c r="E5" i="6"/>
  <c r="E22" i="11"/>
  <c r="E24" i="11"/>
  <c r="H5" i="6"/>
  <c r="K5" i="6"/>
  <c r="D24" i="3"/>
  <c r="D44" i="3"/>
  <c r="N5" i="6"/>
  <c r="Q5" i="6"/>
  <c r="E5" i="2"/>
  <c r="G5" i="2"/>
  <c r="E15" i="3"/>
  <c r="C6" i="4"/>
  <c r="R6" i="4"/>
  <c r="E55" i="3"/>
  <c r="O6" i="4"/>
  <c r="H5" i="8"/>
  <c r="J5" i="8"/>
  <c r="N5" i="8"/>
  <c r="E5" i="8"/>
  <c r="L6" i="4"/>
  <c r="U6" i="4"/>
  <c r="E25" i="3"/>
  <c r="E45" i="3"/>
  <c r="O6" i="6"/>
  <c r="E6" i="10"/>
  <c r="E16" i="10"/>
  <c r="E26" i="10"/>
  <c r="F11" i="11"/>
  <c r="E37" i="10"/>
  <c r="E47" i="10"/>
  <c r="E57" i="10"/>
  <c r="E67" i="10"/>
  <c r="E77" i="10"/>
  <c r="F12" i="11"/>
  <c r="C6" i="6"/>
  <c r="E7" i="9"/>
  <c r="E17" i="9"/>
  <c r="F7" i="11"/>
  <c r="F8" i="11"/>
  <c r="F6" i="6"/>
  <c r="F9" i="11"/>
  <c r="E101" i="9"/>
  <c r="E111" i="9"/>
  <c r="F10" i="11"/>
  <c r="I6" i="6"/>
  <c r="L6" i="6"/>
  <c r="R6" i="6"/>
  <c r="F6" i="2"/>
  <c r="G5" i="8"/>
  <c r="I5" i="8"/>
  <c r="D5" i="8"/>
  <c r="K6" i="4"/>
  <c r="D55" i="3"/>
  <c r="N6" i="4"/>
  <c r="D5" i="3"/>
  <c r="D15" i="3"/>
  <c r="B6" i="4"/>
  <c r="Q6" i="4"/>
  <c r="T6" i="4"/>
  <c r="B6" i="6"/>
  <c r="E6" i="6"/>
  <c r="F22" i="11"/>
  <c r="F24" i="11"/>
  <c r="H6" i="6"/>
  <c r="K6" i="6"/>
  <c r="D25" i="3"/>
  <c r="D45" i="3"/>
  <c r="N6" i="6"/>
  <c r="Q6" i="6"/>
  <c r="E6" i="2"/>
  <c r="G6" i="2"/>
  <c r="E16" i="3"/>
  <c r="C7" i="4"/>
  <c r="R7" i="4"/>
  <c r="E56" i="3"/>
  <c r="O7" i="4"/>
  <c r="H6" i="8"/>
  <c r="J6" i="8"/>
  <c r="N6" i="8"/>
  <c r="E6" i="8"/>
  <c r="L7" i="4"/>
  <c r="U7" i="4"/>
  <c r="E26" i="3"/>
  <c r="E46" i="3"/>
  <c r="O7" i="6"/>
  <c r="E7" i="10"/>
  <c r="E17" i="10"/>
  <c r="E27" i="10"/>
  <c r="G11" i="11"/>
  <c r="E38" i="10"/>
  <c r="E48" i="10"/>
  <c r="E58" i="10"/>
  <c r="E68" i="10"/>
  <c r="E78" i="10"/>
  <c r="G12" i="11"/>
  <c r="C7" i="6"/>
  <c r="E8" i="9"/>
  <c r="E18" i="9"/>
  <c r="G7" i="11"/>
  <c r="G8" i="11"/>
  <c r="F7" i="6"/>
  <c r="G9" i="11"/>
  <c r="E102" i="9"/>
  <c r="E112" i="9"/>
  <c r="G10" i="11"/>
  <c r="I7" i="6"/>
  <c r="L7" i="6"/>
  <c r="R7" i="6"/>
  <c r="F7" i="2"/>
  <c r="G6" i="8"/>
  <c r="I6" i="8"/>
  <c r="D6" i="8"/>
  <c r="K7" i="4"/>
  <c r="D56" i="3"/>
  <c r="N7" i="4"/>
  <c r="D6" i="3"/>
  <c r="D16" i="3"/>
  <c r="B7" i="4"/>
  <c r="Q7" i="4"/>
  <c r="T7" i="4"/>
  <c r="B7" i="6"/>
  <c r="E7" i="6"/>
  <c r="G22" i="11"/>
  <c r="G24" i="11"/>
  <c r="H7" i="6"/>
  <c r="K7" i="6"/>
  <c r="D26" i="3"/>
  <c r="D46" i="3"/>
  <c r="N7" i="6"/>
  <c r="Q7" i="6"/>
  <c r="E7" i="2"/>
  <c r="G7" i="2"/>
  <c r="E17" i="3"/>
  <c r="C8" i="4"/>
  <c r="R8" i="4"/>
  <c r="E57" i="3"/>
  <c r="O8" i="4"/>
  <c r="H7" i="8"/>
  <c r="J7" i="8"/>
  <c r="N7" i="8"/>
  <c r="E7" i="8"/>
  <c r="L8" i="4"/>
  <c r="U8" i="4"/>
  <c r="E27" i="3"/>
  <c r="E47" i="3"/>
  <c r="O8" i="6"/>
  <c r="E8" i="10"/>
  <c r="E18" i="10"/>
  <c r="E28" i="10"/>
  <c r="H11" i="11"/>
  <c r="E39" i="10"/>
  <c r="E49" i="10"/>
  <c r="E59" i="10"/>
  <c r="E69" i="10"/>
  <c r="E79" i="10"/>
  <c r="H12" i="11"/>
  <c r="C8" i="6"/>
  <c r="E9" i="9"/>
  <c r="E19" i="9"/>
  <c r="H7" i="11"/>
  <c r="H8" i="11"/>
  <c r="F8" i="6"/>
  <c r="H9" i="11"/>
  <c r="E103" i="9"/>
  <c r="E113" i="9"/>
  <c r="E123" i="9"/>
  <c r="H10" i="11"/>
  <c r="I8" i="6"/>
  <c r="L8" i="6"/>
  <c r="R8" i="6"/>
  <c r="F8" i="2"/>
  <c r="G7" i="8"/>
  <c r="I7" i="8"/>
  <c r="D7" i="8"/>
  <c r="K8" i="4"/>
  <c r="D57" i="3"/>
  <c r="N8" i="4"/>
  <c r="D7" i="3"/>
  <c r="D17" i="3"/>
  <c r="B8" i="4"/>
  <c r="Q8" i="4"/>
  <c r="T8" i="4"/>
  <c r="B8" i="6"/>
  <c r="E8" i="6"/>
  <c r="H22" i="11"/>
  <c r="H24" i="11"/>
  <c r="H8" i="6"/>
  <c r="K8" i="6"/>
  <c r="D27" i="3"/>
  <c r="D47" i="3"/>
  <c r="N8" i="6"/>
  <c r="Q8" i="6"/>
  <c r="E8" i="2"/>
  <c r="G8" i="2"/>
  <c r="E18" i="3"/>
  <c r="C9" i="4"/>
  <c r="R9" i="4"/>
  <c r="E58" i="3"/>
  <c r="O9" i="4"/>
  <c r="H8" i="8"/>
  <c r="J8" i="8"/>
  <c r="N8" i="8"/>
  <c r="E8" i="8"/>
  <c r="L9" i="4"/>
  <c r="U9" i="4"/>
  <c r="E28" i="3"/>
  <c r="E48" i="3"/>
  <c r="O9" i="6"/>
  <c r="E9" i="10"/>
  <c r="E19" i="10"/>
  <c r="E29" i="10"/>
  <c r="I11" i="11"/>
  <c r="E40" i="10"/>
  <c r="E50" i="10"/>
  <c r="E60" i="10"/>
  <c r="E70" i="10"/>
  <c r="E80" i="10"/>
  <c r="I12" i="11"/>
  <c r="C9" i="6"/>
  <c r="E10" i="9"/>
  <c r="E20" i="9"/>
  <c r="I7" i="11"/>
  <c r="I8" i="11"/>
  <c r="F9" i="6"/>
  <c r="I9" i="11"/>
  <c r="E104" i="9"/>
  <c r="E114" i="9"/>
  <c r="E124" i="9"/>
  <c r="I10" i="11"/>
  <c r="I9" i="6"/>
  <c r="L9" i="6"/>
  <c r="R9" i="6"/>
  <c r="F9" i="2"/>
  <c r="G8" i="8"/>
  <c r="I8" i="8"/>
  <c r="D8" i="8"/>
  <c r="K9" i="4"/>
  <c r="D58" i="3"/>
  <c r="N9" i="4"/>
  <c r="D8" i="3"/>
  <c r="D18" i="3"/>
  <c r="B9" i="4"/>
  <c r="Q9" i="4"/>
  <c r="T9" i="4"/>
  <c r="B9" i="6"/>
  <c r="E9" i="6"/>
  <c r="I22" i="11"/>
  <c r="I24" i="11"/>
  <c r="H9" i="6"/>
  <c r="K9" i="6"/>
  <c r="D28" i="3"/>
  <c r="D48" i="3"/>
  <c r="N9" i="6"/>
  <c r="Q9" i="6"/>
  <c r="E9" i="2"/>
  <c r="G9" i="2"/>
  <c r="E19" i="3"/>
  <c r="C10" i="4"/>
  <c r="R10" i="4"/>
  <c r="E59" i="3"/>
  <c r="O10" i="4"/>
  <c r="H9" i="8"/>
  <c r="J9" i="8"/>
  <c r="N9" i="8"/>
  <c r="E9" i="8"/>
  <c r="L10" i="4"/>
  <c r="U10" i="4"/>
  <c r="E29" i="3"/>
  <c r="E49" i="3"/>
  <c r="O10" i="6"/>
  <c r="E10" i="10"/>
  <c r="E20" i="10"/>
  <c r="E30" i="10"/>
  <c r="J11" i="11"/>
  <c r="E41" i="10"/>
  <c r="E51" i="10"/>
  <c r="E61" i="10"/>
  <c r="E71" i="10"/>
  <c r="E81" i="10"/>
  <c r="J12" i="11"/>
  <c r="C10" i="6"/>
  <c r="E11" i="9"/>
  <c r="E21" i="9"/>
  <c r="J7" i="11"/>
  <c r="J8" i="11"/>
  <c r="F10" i="6"/>
  <c r="J9" i="11"/>
  <c r="E105" i="9"/>
  <c r="E115" i="9"/>
  <c r="E125" i="9"/>
  <c r="J10" i="11"/>
  <c r="I10" i="6"/>
  <c r="L10" i="6"/>
  <c r="R10" i="6"/>
  <c r="F10" i="2"/>
  <c r="G9" i="8"/>
  <c r="I9" i="8"/>
  <c r="D9" i="8"/>
  <c r="K10" i="4"/>
  <c r="D59" i="3"/>
  <c r="N10" i="4"/>
  <c r="D9" i="3"/>
  <c r="D19" i="3"/>
  <c r="B10" i="4"/>
  <c r="Q10" i="4"/>
  <c r="T10" i="4"/>
  <c r="B10" i="6"/>
  <c r="E10" i="6"/>
  <c r="J22" i="11"/>
  <c r="J24" i="11"/>
  <c r="H10" i="6"/>
  <c r="K10" i="6"/>
  <c r="D29" i="3"/>
  <c r="D49" i="3"/>
  <c r="N10" i="6"/>
  <c r="Q10" i="6"/>
  <c r="E10" i="2"/>
  <c r="G10" i="2"/>
  <c r="E20" i="3"/>
  <c r="C11" i="4"/>
  <c r="R11" i="4"/>
  <c r="E60" i="3"/>
  <c r="O11" i="4"/>
  <c r="H10" i="8"/>
  <c r="J10" i="8"/>
  <c r="N10" i="8"/>
  <c r="E10" i="8"/>
  <c r="L11" i="4"/>
  <c r="U11" i="4"/>
  <c r="E30" i="3"/>
  <c r="E50" i="3"/>
  <c r="O11" i="6"/>
  <c r="E11" i="10"/>
  <c r="E21" i="10"/>
  <c r="E31" i="10"/>
  <c r="K11" i="11"/>
  <c r="E42" i="10"/>
  <c r="E52" i="10"/>
  <c r="E62" i="10"/>
  <c r="E72" i="10"/>
  <c r="E82" i="10"/>
  <c r="K12" i="11"/>
  <c r="C11" i="6"/>
  <c r="E12" i="9"/>
  <c r="E22" i="9"/>
  <c r="K7" i="11"/>
  <c r="K8" i="11"/>
  <c r="F11" i="6"/>
  <c r="K9" i="11"/>
  <c r="E106" i="9"/>
  <c r="E116" i="9"/>
  <c r="E126" i="9"/>
  <c r="K10" i="11"/>
  <c r="I11" i="6"/>
  <c r="L11" i="6"/>
  <c r="R11" i="6"/>
  <c r="F11" i="2"/>
  <c r="G10" i="8"/>
  <c r="I10" i="8"/>
  <c r="D10" i="8"/>
  <c r="K11" i="4"/>
  <c r="D60" i="3"/>
  <c r="N11" i="4"/>
  <c r="D10" i="3"/>
  <c r="D20" i="3"/>
  <c r="B11" i="4"/>
  <c r="Q11" i="4"/>
  <c r="T11" i="4"/>
  <c r="B11" i="6"/>
  <c r="E11" i="6"/>
  <c r="K22" i="11"/>
  <c r="K24" i="11"/>
  <c r="H11" i="6"/>
  <c r="K11" i="6"/>
  <c r="D30" i="3"/>
  <c r="D50" i="3"/>
  <c r="N11" i="6"/>
  <c r="Q11" i="6"/>
  <c r="E11" i="2"/>
  <c r="G11" i="2"/>
  <c r="E21" i="3"/>
  <c r="C12" i="4"/>
  <c r="R12" i="4"/>
  <c r="E61" i="3"/>
  <c r="O12" i="4"/>
  <c r="H11" i="8"/>
  <c r="J11" i="8"/>
  <c r="N11" i="8"/>
  <c r="E11" i="8"/>
  <c r="L12" i="4"/>
  <c r="U12" i="4"/>
  <c r="E31" i="3"/>
  <c r="E51" i="3"/>
  <c r="O12" i="6"/>
  <c r="E12" i="10"/>
  <c r="E22" i="10"/>
  <c r="E32" i="10"/>
  <c r="L11" i="11"/>
  <c r="E43" i="10"/>
  <c r="E53" i="10"/>
  <c r="E63" i="10"/>
  <c r="E73" i="10"/>
  <c r="E83" i="10"/>
  <c r="L12" i="11"/>
  <c r="C12" i="6"/>
  <c r="E13" i="9"/>
  <c r="E23" i="9"/>
  <c r="L7" i="11"/>
  <c r="L8" i="11"/>
  <c r="F12" i="6"/>
  <c r="L9" i="11"/>
  <c r="E107" i="9"/>
  <c r="E117" i="9"/>
  <c r="E127" i="9"/>
  <c r="L10" i="11"/>
  <c r="I12" i="6"/>
  <c r="L12" i="6"/>
  <c r="R12" i="6"/>
  <c r="F12" i="2"/>
  <c r="G11" i="8"/>
  <c r="I11" i="8"/>
  <c r="D11" i="8"/>
  <c r="K12" i="4"/>
  <c r="D61" i="3"/>
  <c r="N12" i="4"/>
  <c r="D11" i="3"/>
  <c r="D21" i="3"/>
  <c r="B12" i="4"/>
  <c r="Q12" i="4"/>
  <c r="T12" i="4"/>
  <c r="B12" i="6"/>
  <c r="E12" i="6"/>
  <c r="L22" i="11"/>
  <c r="L24" i="11"/>
  <c r="H12" i="6"/>
  <c r="K12" i="6"/>
  <c r="D31" i="3"/>
  <c r="D51" i="3"/>
  <c r="N12" i="6"/>
  <c r="Q12" i="6"/>
  <c r="E12" i="2"/>
  <c r="G12" i="2"/>
  <c r="E22" i="3"/>
  <c r="C13" i="4"/>
  <c r="R13" i="4"/>
  <c r="E62" i="3"/>
  <c r="O13" i="4"/>
  <c r="H12" i="8"/>
  <c r="J12" i="8"/>
  <c r="N12" i="8"/>
  <c r="E12" i="8"/>
  <c r="L13" i="4"/>
  <c r="U13" i="4"/>
  <c r="E32" i="3"/>
  <c r="E52" i="3"/>
  <c r="O13" i="6"/>
  <c r="E13" i="10"/>
  <c r="E23" i="10"/>
  <c r="E33" i="10"/>
  <c r="M11" i="11"/>
  <c r="E44" i="10"/>
  <c r="E54" i="10"/>
  <c r="E64" i="10"/>
  <c r="E74" i="10"/>
  <c r="E84" i="10"/>
  <c r="M12" i="11"/>
  <c r="C13" i="6"/>
  <c r="E14" i="9"/>
  <c r="E24" i="9"/>
  <c r="M7" i="11"/>
  <c r="M8" i="11"/>
  <c r="F13" i="6"/>
  <c r="M9" i="11"/>
  <c r="E108" i="9"/>
  <c r="E118" i="9"/>
  <c r="E128" i="9"/>
  <c r="M10" i="11"/>
  <c r="I13" i="6"/>
  <c r="L13" i="6"/>
  <c r="R13" i="6"/>
  <c r="F13" i="2"/>
  <c r="G12" i="8"/>
  <c r="I12" i="8"/>
  <c r="D12" i="8"/>
  <c r="K13" i="4"/>
  <c r="D62" i="3"/>
  <c r="N13" i="4"/>
  <c r="D12" i="3"/>
  <c r="D22" i="3"/>
  <c r="B13" i="4"/>
  <c r="Q13" i="4"/>
  <c r="T13" i="4"/>
  <c r="B13" i="6"/>
  <c r="E13" i="6"/>
  <c r="M22" i="11"/>
  <c r="M24" i="11"/>
  <c r="H13" i="6"/>
  <c r="K13" i="6"/>
  <c r="D32" i="3"/>
  <c r="D52" i="3"/>
  <c r="N13" i="6"/>
  <c r="Q13" i="6"/>
  <c r="E13" i="2"/>
  <c r="G13" i="2"/>
  <c r="C17" i="2"/>
  <c r="C20" i="11"/>
  <c r="H4" i="9"/>
  <c r="H25" i="9"/>
  <c r="H57" i="9"/>
  <c r="H78" i="9"/>
  <c r="H3" i="9"/>
  <c r="H56" i="9"/>
  <c r="C23" i="11"/>
  <c r="C22" i="11"/>
  <c r="C21" i="11"/>
  <c r="H34" i="10"/>
  <c r="G34" i="10"/>
  <c r="F34" i="10"/>
  <c r="H3" i="10"/>
  <c r="G3" i="10"/>
  <c r="F3" i="10"/>
  <c r="G25" i="9"/>
  <c r="G78" i="9"/>
  <c r="F78" i="9"/>
  <c r="G57" i="9"/>
  <c r="F57" i="9"/>
  <c r="G4" i="9"/>
  <c r="J10" i="6"/>
  <c r="J9" i="6"/>
  <c r="J13" i="6"/>
  <c r="C24" i="11"/>
  <c r="E34" i="10"/>
  <c r="E3" i="10"/>
  <c r="F56" i="9"/>
  <c r="E78" i="9"/>
  <c r="G56" i="9"/>
  <c r="E57" i="9"/>
  <c r="G3" i="9"/>
  <c r="E4" i="9"/>
  <c r="J7" i="6"/>
  <c r="F12" i="8"/>
  <c r="G7" i="6"/>
  <c r="J11" i="6"/>
  <c r="F7" i="8"/>
  <c r="M8" i="4"/>
  <c r="G9" i="6"/>
  <c r="J6" i="6"/>
  <c r="G6" i="6"/>
  <c r="J12" i="6"/>
  <c r="G10" i="6"/>
  <c r="G5" i="6"/>
  <c r="J8" i="6"/>
  <c r="G4" i="6"/>
  <c r="G11" i="6"/>
  <c r="G12" i="6"/>
  <c r="G8" i="6"/>
  <c r="G13" i="6"/>
  <c r="C10" i="11"/>
  <c r="J13" i="11"/>
  <c r="I13" i="11"/>
  <c r="G13" i="11"/>
  <c r="C11" i="11"/>
  <c r="H13" i="11"/>
  <c r="C12" i="11"/>
  <c r="K13" i="11"/>
  <c r="C8" i="11"/>
  <c r="C7" i="11"/>
  <c r="F13" i="11"/>
  <c r="M13" i="11"/>
  <c r="E56" i="9"/>
  <c r="L13" i="11"/>
  <c r="F5" i="8"/>
  <c r="M4" i="4"/>
  <c r="M6" i="4"/>
  <c r="M13" i="4"/>
  <c r="F11" i="8"/>
  <c r="F10" i="8"/>
  <c r="M9" i="4"/>
  <c r="M7" i="4"/>
  <c r="F6" i="8"/>
  <c r="M12" i="4"/>
  <c r="M11" i="4"/>
  <c r="M10" i="4"/>
  <c r="M5" i="4"/>
  <c r="F8" i="8"/>
  <c r="F4" i="8"/>
  <c r="F3" i="8"/>
  <c r="F9" i="8"/>
  <c r="A12" i="7"/>
  <c r="A10" i="7"/>
  <c r="A8" i="7"/>
  <c r="A6" i="7"/>
  <c r="A4" i="7"/>
  <c r="A2" i="7"/>
  <c r="D13" i="6"/>
  <c r="D12" i="6"/>
  <c r="D11" i="6"/>
  <c r="D10" i="6"/>
  <c r="D9" i="6"/>
  <c r="D8" i="6"/>
  <c r="D7" i="6"/>
  <c r="D6" i="6"/>
  <c r="D5" i="6"/>
  <c r="D4" i="6"/>
  <c r="G13" i="4"/>
  <c r="G12" i="4"/>
  <c r="G11" i="4"/>
  <c r="G10" i="4"/>
  <c r="G9" i="4"/>
  <c r="G8" i="4"/>
  <c r="G7" i="4"/>
  <c r="G6" i="4"/>
  <c r="P5" i="4"/>
  <c r="G5" i="4"/>
  <c r="G4" i="4"/>
  <c r="P7" i="6"/>
  <c r="J7" i="4"/>
  <c r="J5" i="4"/>
  <c r="F59" i="3"/>
  <c r="M6" i="6"/>
  <c r="M10" i="6"/>
  <c r="M7" i="6"/>
  <c r="M11" i="6"/>
  <c r="F62" i="3"/>
  <c r="M4" i="6"/>
  <c r="M8" i="6"/>
  <c r="M12" i="6"/>
  <c r="F55" i="3"/>
  <c r="M5" i="6"/>
  <c r="M9" i="6"/>
  <c r="M13" i="6"/>
  <c r="F58" i="3"/>
  <c r="F56" i="3"/>
  <c r="F60" i="3"/>
  <c r="F53" i="3"/>
  <c r="F57" i="3"/>
  <c r="F61" i="3"/>
  <c r="F54" i="3"/>
  <c r="J13" i="4"/>
  <c r="J9" i="4"/>
  <c r="F47" i="3"/>
  <c r="F4" i="3"/>
  <c r="F51" i="3"/>
  <c r="F36" i="3"/>
  <c r="P13" i="4"/>
  <c r="P12" i="4"/>
  <c r="P9" i="4"/>
  <c r="P8" i="4"/>
  <c r="D5" i="4"/>
  <c r="S8" i="4"/>
  <c r="S12" i="4"/>
  <c r="P7" i="4"/>
  <c r="P6" i="4"/>
  <c r="P11" i="4"/>
  <c r="P10" i="4"/>
  <c r="D8" i="4"/>
  <c r="J11" i="4"/>
  <c r="D12" i="4"/>
  <c r="F35" i="3"/>
  <c r="F7" i="3"/>
  <c r="F33" i="3"/>
  <c r="F25" i="3"/>
  <c r="F9" i="3"/>
  <c r="F11" i="3"/>
  <c r="F3" i="3"/>
  <c r="F16" i="3"/>
  <c r="F18" i="3"/>
  <c r="F29" i="3"/>
  <c r="F40" i="3"/>
  <c r="F20" i="3"/>
  <c r="F22" i="3"/>
  <c r="F27" i="3"/>
  <c r="F44" i="3"/>
  <c r="F46" i="3"/>
  <c r="F12" i="3"/>
  <c r="F13" i="3"/>
  <c r="F31" i="3"/>
  <c r="F38" i="3"/>
  <c r="F5" i="3"/>
  <c r="F14" i="3"/>
  <c r="F24" i="3"/>
  <c r="F42" i="3"/>
  <c r="F43" i="3"/>
  <c r="F49" i="3"/>
  <c r="F15" i="3"/>
  <c r="F26" i="3"/>
  <c r="F39" i="3"/>
  <c r="F48" i="3"/>
  <c r="F8" i="3"/>
  <c r="F10" i="3"/>
  <c r="F19" i="3"/>
  <c r="F21" i="3"/>
  <c r="F23" i="3"/>
  <c r="F30" i="3"/>
  <c r="F32" i="3"/>
  <c r="F34" i="3"/>
  <c r="F41" i="3"/>
  <c r="F45" i="3"/>
  <c r="F52" i="3"/>
  <c r="F6" i="3"/>
  <c r="F17" i="3"/>
  <c r="F28" i="3"/>
  <c r="F37" i="3"/>
  <c r="F50" i="3"/>
  <c r="D7" i="4"/>
  <c r="B11" i="2"/>
  <c r="P6" i="6"/>
  <c r="B6" i="2"/>
  <c r="P10" i="6"/>
  <c r="P13" i="6"/>
  <c r="P5" i="6"/>
  <c r="P8" i="6"/>
  <c r="Q14" i="4"/>
  <c r="P9" i="6"/>
  <c r="B7" i="2"/>
  <c r="J12" i="4"/>
  <c r="V12" i="4"/>
  <c r="J10" i="4"/>
  <c r="J6" i="4"/>
  <c r="J8" i="4"/>
  <c r="D9" i="4"/>
  <c r="D4" i="4"/>
  <c r="S4" i="4"/>
  <c r="P12" i="6"/>
  <c r="P11" i="6"/>
  <c r="P4" i="6"/>
  <c r="S13" i="4"/>
  <c r="D13" i="4"/>
  <c r="S11" i="4"/>
  <c r="D11" i="4"/>
  <c r="D10" i="4"/>
  <c r="S9" i="4"/>
  <c r="V8" i="4"/>
  <c r="S6" i="4"/>
  <c r="D6" i="4"/>
  <c r="S10" i="4"/>
  <c r="S7" i="4"/>
  <c r="S11" i="6"/>
  <c r="S10" i="6"/>
  <c r="S7" i="6"/>
  <c r="S6" i="6"/>
  <c r="S9" i="6"/>
  <c r="B5" i="2"/>
  <c r="T14" i="4"/>
  <c r="V7" i="4"/>
  <c r="B13" i="2"/>
  <c r="B10" i="2"/>
  <c r="Q14" i="6"/>
  <c r="B8" i="2"/>
  <c r="J8" i="2"/>
  <c r="S13" i="6"/>
  <c r="B12" i="2"/>
  <c r="B9" i="2"/>
  <c r="B4" i="2"/>
  <c r="R14" i="4"/>
  <c r="C10" i="2"/>
  <c r="S5" i="4"/>
  <c r="V11" i="4"/>
  <c r="C6" i="2"/>
  <c r="D6" i="2"/>
  <c r="I6" i="2"/>
  <c r="V4" i="4"/>
  <c r="C13" i="2"/>
  <c r="S12" i="6"/>
  <c r="C12" i="2"/>
  <c r="C11" i="2"/>
  <c r="D11" i="2"/>
  <c r="I11" i="2"/>
  <c r="C9" i="2"/>
  <c r="C8" i="2"/>
  <c r="S8" i="6"/>
  <c r="C7" i="2"/>
  <c r="D7" i="2"/>
  <c r="I7" i="2"/>
  <c r="V6" i="4"/>
  <c r="V13" i="4"/>
  <c r="V10" i="4"/>
  <c r="V9" i="4"/>
  <c r="S14" i="4"/>
  <c r="J6" i="2"/>
  <c r="J11" i="2"/>
  <c r="J9" i="2"/>
  <c r="D13" i="2"/>
  <c r="I13" i="2"/>
  <c r="D12" i="2"/>
  <c r="I12" i="2"/>
  <c r="J7" i="2"/>
  <c r="J13" i="2"/>
  <c r="J12" i="2"/>
  <c r="D8" i="2"/>
  <c r="I8" i="2"/>
  <c r="E14" i="2"/>
  <c r="J10" i="2"/>
  <c r="D10" i="2"/>
  <c r="I10" i="2"/>
  <c r="D9" i="2"/>
  <c r="I9" i="2"/>
  <c r="B14" i="2"/>
  <c r="V5" i="4"/>
  <c r="V14" i="4"/>
  <c r="U14" i="4"/>
  <c r="E13" i="11"/>
  <c r="E3" i="9"/>
  <c r="J5" i="6"/>
  <c r="D13" i="11"/>
  <c r="C9" i="11"/>
  <c r="C13" i="11"/>
  <c r="S5" i="6"/>
  <c r="C5" i="2"/>
  <c r="D5" i="2"/>
  <c r="I5" i="2"/>
  <c r="J5" i="2"/>
  <c r="J4" i="6"/>
  <c r="R14" i="6"/>
  <c r="C4" i="2"/>
  <c r="S4" i="6"/>
  <c r="S14" i="6"/>
  <c r="C14" i="2"/>
  <c r="D4" i="2"/>
  <c r="I4" i="2"/>
  <c r="J4" i="2"/>
  <c r="F14" i="2"/>
  <c r="G14" i="2"/>
  <c r="D14" i="2"/>
  <c r="I14" i="2"/>
  <c r="K4" i="2"/>
  <c r="J14" i="2"/>
  <c r="K5" i="2"/>
  <c r="K6" i="2"/>
  <c r="C12" i="7"/>
  <c r="C10" i="7"/>
  <c r="C4" i="7"/>
  <c r="C2" i="7"/>
  <c r="C8" i="7"/>
  <c r="C6" i="7"/>
  <c r="L4" i="2"/>
  <c r="L5" i="2"/>
  <c r="L6" i="2"/>
  <c r="K7" i="2"/>
  <c r="L7" i="2"/>
  <c r="K8" i="2"/>
  <c r="K9" i="2"/>
  <c r="K10" i="2"/>
  <c r="K11" i="2"/>
  <c r="K12" i="2"/>
  <c r="K13" i="2"/>
  <c r="L8" i="2"/>
  <c r="L9" i="2"/>
  <c r="L10" i="2"/>
  <c r="L11" i="2"/>
  <c r="L12" i="2"/>
  <c r="L13" i="2"/>
</calcChain>
</file>

<file path=xl/sharedStrings.xml><?xml version="1.0" encoding="utf-8"?>
<sst xmlns="http://schemas.openxmlformats.org/spreadsheetml/2006/main" count="804" uniqueCount="295">
  <si>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</si>
  <si>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</si>
  <si>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</si>
  <si>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</si>
  <si>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</si>
  <si>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</si>
  <si>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</si>
  <si>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</si>
  <si>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</si>
  <si>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</si>
  <si>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Materiálové náklady podania (Cpap)</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</si>
  <si>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</si>
  <si>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</si>
  <si>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</si>
  <si>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</si>
  <si>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</si>
  <si>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Cpap=Poštovné (0,83 EUR)+Tlač (0,02 EUR)+Papier (0,01 EUR)+Obálka (0,03 EUR).  
Materiálové náklady podania sú faktorom prevádzkových variabilných nákladov.</t>
  </si>
  <si>
    <t>EUR/hod</t>
  </si>
  <si>
    <t>Čistá súčasná hodnota z projektu</t>
  </si>
  <si>
    <t>Finančné prínosy</t>
  </si>
  <si>
    <t>Ekonomické prínosy</t>
  </si>
  <si>
    <t>koeficient obdobia</t>
  </si>
  <si>
    <t>Finančná (FNPV)</t>
  </si>
  <si>
    <t>Ekonomická (ENPV)</t>
  </si>
  <si>
    <t>Kumulovaná diskont. návratnosť ENPV</t>
  </si>
  <si>
    <t>Obdobie</t>
  </si>
  <si>
    <t>Alternat. 1</t>
  </si>
  <si>
    <t>Alternat. 2</t>
  </si>
  <si>
    <t>rozdiel</t>
  </si>
  <si>
    <t>t1</t>
  </si>
  <si>
    <t>t2</t>
  </si>
  <si>
    <t>t3</t>
  </si>
  <si>
    <t>t4</t>
  </si>
  <si>
    <t>t5</t>
  </si>
  <si>
    <t>t6</t>
  </si>
  <si>
    <t>t7</t>
  </si>
  <si>
    <t>t8</t>
  </si>
  <si>
    <t>t9</t>
  </si>
  <si>
    <t>t10</t>
  </si>
  <si>
    <t>SPOLU</t>
  </si>
  <si>
    <t>Alternat. A</t>
  </si>
  <si>
    <t>Alternat. B</t>
  </si>
  <si>
    <t>Cashflow projektu</t>
  </si>
  <si>
    <t>Finančný cashflow</t>
  </si>
  <si>
    <t>Ekonomický cashflow</t>
  </si>
  <si>
    <t>počet / rok</t>
  </si>
  <si>
    <t>hod.</t>
  </si>
  <si>
    <t>počet</t>
  </si>
  <si>
    <t>Kvalitatívne prínosy</t>
  </si>
  <si>
    <t>Parameter</t>
  </si>
  <si>
    <t>Počet podaní</t>
  </si>
  <si>
    <t>Výška administratívneho poplatku</t>
  </si>
  <si>
    <t>Priemerný čas potrebný na vypracovanie a doručenie podania</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</si>
  <si>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</si>
  <si>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</si>
  <si>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</si>
  <si>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</si>
  <si>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</si>
  <si>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</si>
  <si>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</si>
  <si>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</si>
  <si>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Priemerná mzda v NH</t>
  </si>
  <si>
    <t>Organizácia</t>
  </si>
  <si>
    <t>Ulica</t>
  </si>
  <si>
    <t>PSČ</t>
  </si>
  <si>
    <t>Web</t>
  </si>
  <si>
    <t>IČO</t>
  </si>
  <si>
    <t>Spracovateľ</t>
  </si>
  <si>
    <t xml:space="preserve">    Titul, Meno, Priezvisko</t>
  </si>
  <si>
    <t xml:space="preserve">Kontakt na spracovateľa    </t>
  </si>
  <si>
    <t xml:space="preserve">    Email, telefón</t>
  </si>
  <si>
    <t>Hlavička tabuľky</t>
  </si>
  <si>
    <t>Popisná informácia</t>
  </si>
  <si>
    <t>Metodický pokyn k vypracovaniu finančnej analýzy projektu, analýzy nákladov a prínosov projektu a finančnej analýzy žiadateľa o NFP v programovom období 2014 – 2020.</t>
  </si>
  <si>
    <t>Jednotlivé informácie sú farebne odlíšené nasledovne:</t>
  </si>
  <si>
    <t>Automaticky vypočitavané hodnoty</t>
  </si>
  <si>
    <t>Miesto na vpisovanie vlastných hodnôt</t>
  </si>
  <si>
    <t>Preddefinované konštanty</t>
  </si>
  <si>
    <t>Pre projekty zamerané na služby agendových informačných systémov</t>
  </si>
  <si>
    <t>HW</t>
  </si>
  <si>
    <t>SW</t>
  </si>
  <si>
    <t>Služby</t>
  </si>
  <si>
    <t>Všeobecný materiál</t>
  </si>
  <si>
    <t>Osobné náklady</t>
  </si>
  <si>
    <t>Fixné výdavky</t>
  </si>
  <si>
    <t>Variabilné výdavky</t>
  </si>
  <si>
    <t>Výdavky spolu</t>
  </si>
  <si>
    <t>% zmena</t>
  </si>
  <si>
    <t>ENPV</t>
  </si>
  <si>
    <t>Spotrebovávané cloudové služby
Parameter je vyhodnocovaný ako úspora z prevádzky (v časti prínosy)</t>
  </si>
  <si>
    <t>Úspora z prevádzky pri využívaní cloudových služieb</t>
  </si>
  <si>
    <t>Aplikačný modul 2</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</si>
  <si>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</si>
  <si>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</si>
  <si>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</si>
  <si>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</si>
  <si>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</si>
  <si>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</si>
  <si>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</si>
  <si>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</si>
  <si>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</si>
  <si>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</si>
  <si>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</si>
  <si>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Skupina služieb N</t>
  </si>
  <si>
    <t>Poplatky za udržanie funkčnosti / dostupnosti aplikácie / update</t>
  </si>
  <si>
    <t>Aplikačná podpora / helpdesk</t>
  </si>
  <si>
    <t>Rozvoj - doplnenie funkcionality aplikácie / upgrade</t>
  </si>
  <si>
    <t>Personálne náklady spojené s prevádzkou SW produktu a aplikácie</t>
  </si>
  <si>
    <t>521 Mzdové výdavky</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</si>
  <si>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</si>
  <si>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</si>
  <si>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</si>
  <si>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</si>
  <si>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</si>
  <si>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</si>
  <si>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HW položka 1</t>
  </si>
  <si>
    <t>HW položka 2</t>
  </si>
  <si>
    <t>HW položka N</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</si>
  <si>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</si>
  <si>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</si>
  <si>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</si>
  <si>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</si>
  <si>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</si>
  <si>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</si>
  <si>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</si>
  <si>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P.č.</t>
  </si>
  <si>
    <t>Rok</t>
  </si>
  <si>
    <t>HW sumár obstaranie</t>
  </si>
  <si>
    <t>HW sumár prevádzka</t>
  </si>
  <si>
    <t xml:space="preserve">Spolu </t>
  </si>
  <si>
    <t>Náklady na dodávateľa spojené s prevádzkou SW</t>
  </si>
  <si>
    <t>Náklady na dodávateľa spojené s prevádzkou HW</t>
  </si>
  <si>
    <t>Náklady na priestory a energie</t>
  </si>
  <si>
    <t>Spolu</t>
  </si>
  <si>
    <t>Poznámky:</t>
  </si>
  <si>
    <t>**</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</si>
  <si>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</si>
  <si>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</si>
  <si>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</si>
  <si>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</si>
  <si>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</si>
  <si>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</si>
  <si>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</si>
  <si>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Príloha pre výpočet TCO a čistej súčasnej hodnoty z projektu</t>
  </si>
  <si>
    <t>Názov riešenia</t>
  </si>
  <si>
    <t>Personálne náklady*</t>
  </si>
  <si>
    <t xml:space="preserve">Spolu** </t>
  </si>
  <si>
    <t>*</t>
  </si>
  <si>
    <t>V pripade riešenia podpory daného IKT formou  outsourcingu, alebo(a) prenájmu , postačuje uviesť celkovú hodnotu, ak nie je možné výdavky štrukturovane rozdeliť</t>
  </si>
  <si>
    <t>Všetky výdavkové položky sú automaticky vypočítané na základe údajov uvedených v záložkách TCO, spotrebované cloudové služby a Parametre - Agendové IS</t>
  </si>
  <si>
    <r>
      <t>C</t>
    </r>
    <r>
      <rPr>
        <vertAlign val="subscript"/>
        <sz val="10"/>
        <color indexed="8"/>
        <rFont val="Arial Narrow"/>
        <family val="2"/>
        <charset val="238"/>
      </rPr>
      <t>perc</t>
    </r>
  </si>
  <si>
    <t>112 Zásoby</t>
  </si>
  <si>
    <t>Počet používateľov :</t>
  </si>
  <si>
    <t>Náklady na existujúce riešenie
(pôvodné riešenie pred realizáciou projektu OP II), ktoré bolo nahradené</t>
  </si>
  <si>
    <t>Personálne náklady existujúceho riešenia - náklady na zamestnancov priamo vykonávajúcich podporu daného IKT</t>
  </si>
  <si>
    <t>Kód ISVS z MetaIS</t>
  </si>
  <si>
    <t>Číslo projektu ITMS</t>
  </si>
  <si>
    <t>Vytvorenie riešenia - obstaranie</t>
  </si>
  <si>
    <t>Úrad podpredsedu vlády SR pre investície a informatizáciu</t>
  </si>
  <si>
    <t>Štefánikova 15</t>
  </si>
  <si>
    <t>811 05 Bratislava</t>
  </si>
  <si>
    <t>https://www.vicepremier.gov.sk/index.html</t>
  </si>
  <si>
    <t xml:space="preserve">Posledný rok, ktorým výpočet CBA a TCO končí, rok ukončenia projektu </t>
  </si>
  <si>
    <t>Trvanie spracovania podania</t>
  </si>
  <si>
    <t>Cper=(1110*1,352)/162,5, pričom 1501 EUR  je priemerná hrubá mzda vo verejnej správe za 1. štvrťrok 2017. Odvody (SP, ZP, SF) sú 35,2%. Fond pracovnej doby na 1 rok pre verejnu správu je 1950,0 hodiny, čo je za mesiac 162,5 hodín (čas na prestávku nie je započítaný, verejná správa 37,5 hod týždenne)
Osobné náklady sú faktorom prevádzkových variabilných nákladov.
Zdroj:
https://calendar.zoznam.sk/worktime-sksk.php
http://statdat.statistics.sk za 1Q/2017</t>
  </si>
  <si>
    <t>Prínosy implementácie inteligentných regulácií</t>
  </si>
  <si>
    <t>Podpora dopytu po inovatívnych riešeniach v digitálnej ekonomike.</t>
  </si>
  <si>
    <t>Tvorba znalostnej ekonomicky vplyvom tvorby modelov a analýz vybraných vplyvov pre rôzne oblasti a druhy regulácií a ich opakované využívanie,</t>
  </si>
  <si>
    <t>Zvýšenie efektivity dohľadu nad regulačným procesom,</t>
  </si>
  <si>
    <t>Zlepšenie kvality rozhodnutí pri riešení definovaných problémov v oblasti regulácií,</t>
  </si>
  <si>
    <t>Efektívnejšie využívanie a zdieľanie zdrojov,</t>
  </si>
  <si>
    <t>Zvýšenie produktivity práce (ušetrenie času pracovníkov) vďaka automatizácií, rozdeleniu úloh, štandardizácií,</t>
  </si>
  <si>
    <t>Súčasná hodnota</t>
  </si>
  <si>
    <t>Cieľová hodnota</t>
  </si>
  <si>
    <t>zvýšenie dodatočných daňových príjmov z titulu zvýšenia HDP – 3 671 mil. €.</t>
  </si>
  <si>
    <t>zníženie nákladov na regulácie na strane externých subjektov – 3 381 mil. €,</t>
  </si>
  <si>
    <t>Pri nákladoch na implementáciu a prevádzku vo výške 125 mil. € bola stanovená výška NVP v horizonte 15 rokov na úroveň 7 052 mil. €:</t>
  </si>
  <si>
    <t>Dodatočný rast HDP po znížení administratívnej náročnosti je na úrovni 0,5%  (konzervatívny odhad) - vychádza z Djankovho modelu, kde bola hodnota stanovená až na úroveň 2,3%.</t>
  </si>
  <si>
    <t>Inflácia (2,3%), Rast ekonomiky (2,5%), Diskontná sadzba (3,5%) sú hodnoty dostupné zo všeobecne dostupných zdrojov,</t>
  </si>
  <si>
    <t>Dodatočné daňové príjmy boli stanovené na úroveň 12,95% z dodatočného HDP (pomer medzi výberom daní 2014 a HDP 2014),</t>
  </si>
  <si>
    <t>Náklady na regulácie (externých subjektov) boli stavené na 1,63 mld. ročne (vypočítané na základe aproximácie modelu štúdie organizácie Canadian Federation of Independent Business),</t>
  </si>
  <si>
    <t>Základné premenné</t>
  </si>
  <si>
    <t>Inteligentné regulácie (IT plaforma lepšej regulácie podľa stratégie RIA 2020)</t>
  </si>
  <si>
    <t>cloudová služba 3 Large redhat</t>
  </si>
  <si>
    <t>cloudová služba 4 Windows Large</t>
  </si>
  <si>
    <t>cloudová služba 5 diskový Tier 1</t>
  </si>
  <si>
    <t>cloudová služba 6 diskový Tier 2</t>
  </si>
  <si>
    <t>cloudová služba 1 Medium RedHat</t>
  </si>
  <si>
    <t>cloudová služba 2 medium windows</t>
  </si>
  <si>
    <t>IRR</t>
  </si>
  <si>
    <t>1. Úspora podnikateľov vďaka registru regulácií</t>
  </si>
  <si>
    <t>Administratívna náročnosť (náklady) sa zníži o 35%,</t>
  </si>
  <si>
    <t>Inteligentné rgulácie</t>
  </si>
  <si>
    <t>2. Úspora subjektov VS vďaka registru regulácií</t>
  </si>
  <si>
    <t>3. Kvalitatívne prínosy vďaka posudzovaniu vplyvov</t>
  </si>
  <si>
    <t>Výstup/funkcionalita projektu</t>
  </si>
  <si>
    <t>M1</t>
  </si>
  <si>
    <t>M2</t>
  </si>
  <si>
    <t>M3</t>
  </si>
  <si>
    <t>M4</t>
  </si>
  <si>
    <t>M5</t>
  </si>
  <si>
    <t>M6</t>
  </si>
  <si>
    <t>M7</t>
  </si>
  <si>
    <t>M8</t>
  </si>
  <si>
    <t>M9</t>
  </si>
  <si>
    <t>M10</t>
  </si>
  <si>
    <t>M11</t>
  </si>
  <si>
    <t>M12</t>
  </si>
  <si>
    <t>M13</t>
  </si>
  <si>
    <t>M14</t>
  </si>
  <si>
    <t>M15</t>
  </si>
  <si>
    <t>M16</t>
  </si>
  <si>
    <t>M17</t>
  </si>
  <si>
    <t>M18</t>
  </si>
  <si>
    <t>M19</t>
  </si>
  <si>
    <t>M20</t>
  </si>
  <si>
    <t>M21</t>
  </si>
  <si>
    <t>M22</t>
  </si>
  <si>
    <t>M24</t>
  </si>
  <si>
    <t>Počet dní interné</t>
  </si>
  <si>
    <t>Pocet FTE interne</t>
  </si>
  <si>
    <t>Suma interné</t>
  </si>
  <si>
    <t xml:space="preserve">   Analýza a špecifikácia požiadaviek </t>
  </si>
  <si>
    <t xml:space="preserve">   Implementácia služieb </t>
  </si>
  <si>
    <t xml:space="preserve">   Testovanie služieb </t>
  </si>
  <si>
    <t xml:space="preserve">   Nasadenie</t>
  </si>
  <si>
    <t xml:space="preserve">   Analýza a špecifikácia požiadaviek vrátane UX stratégie</t>
  </si>
  <si>
    <t xml:space="preserve">   Analýza a špecifikácia požiadaviek</t>
  </si>
  <si>
    <t xml:space="preserve">   Návrh procesov a návrh služieb </t>
  </si>
  <si>
    <t xml:space="preserve">   Nasadenie </t>
  </si>
  <si>
    <t xml:space="preserve">   Analýza a špecifikácia dopadov na spoločné moduly</t>
  </si>
  <si>
    <t>Integrácie a migrácie</t>
  </si>
  <si>
    <t xml:space="preserve">   Podora pri realizácii integrácií a migrácií IS VS </t>
  </si>
  <si>
    <t>Riadenie kvality projektu</t>
  </si>
  <si>
    <t xml:space="preserve">Školenia </t>
  </si>
  <si>
    <t xml:space="preserve">Publicita a informovanosť a Projektové riadenie </t>
  </si>
  <si>
    <t>INDIKATÍVNY ROZPOČET SPOLU</t>
  </si>
  <si>
    <t>Počet dní externé 
1. fáza</t>
  </si>
  <si>
    <t>Počet dní externé 
2. fáza</t>
  </si>
  <si>
    <t>Počet dní externé 
3. fáza</t>
  </si>
  <si>
    <t>Pocet FTE externe
1. fáza</t>
  </si>
  <si>
    <t>Suma externé
3. fáza</t>
  </si>
  <si>
    <t>Suma externé
2. fáza</t>
  </si>
  <si>
    <t>Suma externé
1. fáza</t>
  </si>
  <si>
    <t xml:space="preserve">   Návrh procesov a návrh služieb</t>
  </si>
  <si>
    <t>Register regulácií</t>
  </si>
  <si>
    <t>Analytické nástroje</t>
  </si>
  <si>
    <t>Správa znalostí</t>
  </si>
  <si>
    <t>Údajová základňa</t>
  </si>
  <si>
    <t>Komplexný monitoring regulovaného prostredia</t>
  </si>
  <si>
    <t>Kolaboračná platforma RIA  (ex-ante)</t>
  </si>
  <si>
    <t>Kolaboračná platforma RIA  (ex-post)</t>
  </si>
  <si>
    <t>Počet FTE interné
2. fáza</t>
  </si>
  <si>
    <t xml:space="preserve">Rate na deň externé </t>
  </si>
  <si>
    <t>Počet FTE interné
3. fáza</t>
  </si>
  <si>
    <t xml:space="preserve">   Nákup krabicového softvéru</t>
  </si>
  <si>
    <t>X</t>
  </si>
  <si>
    <t>-</t>
  </si>
  <si>
    <t>M23</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</si>
  <si>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</si>
  <si>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</si>
  <si>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</si>
  <si>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</si>
  <si>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</si>
  <si>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</si>
  <si>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</si>
  <si>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</si>
  <si>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</si>
  <si>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</si>
  <si>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</si>
  <si>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</si>
  <si>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</si>
  <si>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</si>
  <si>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</si>
  <si>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</si>
  <si>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</si>
  <si>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</si>
  <si>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</si>
  <si>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</si>
  <si>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</si>
  <si>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</si>
  <si>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</si>
  <si>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</si>
  <si>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Rok absolútne</t>
  </si>
  <si>
    <t>Úroková miera</t>
  </si>
  <si>
    <t>Rok relatívne</t>
  </si>
  <si>
    <t>NPV</t>
  </si>
  <si>
    <t>CAPEX</t>
  </si>
  <si>
    <t>OPEX</t>
  </si>
  <si>
    <t>Finančný tok</t>
  </si>
  <si>
    <t>Nábeh výnosov</t>
  </si>
  <si>
    <t>Real tok diskount</t>
  </si>
  <si>
    <t>Kumulativ</t>
  </si>
  <si>
    <t>Rok návratu</t>
  </si>
  <si>
    <t>Vypočítané prínosy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</si>
</sst>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0\ &quot;€&quot;_-;\-* #,##0\ &quot;€&quot;_-;_-* &quot;-&quot;\ &quot;€&quot;_-;_-@_-"/>
    <numFmt numFmtId="43" formatCode="_-* #,##0.00\ _€_-;\-* #,##0.00\ _€_-;_-* &quot;-&quot;??\ _€_-;_-@_-"/>
    <numFmt numFmtId="164" formatCode="_-* #,##0.00\ &quot;EUR&quot;_-;\-* #,##0.00\ &quot;EUR&quot;_-;_-* &quot;-&quot;??\ &quot;EUR&quot;_-;_-@_-"/>
    <numFmt numFmtId="165" formatCode="#,##0\ &quot;€&quot;"/>
    <numFmt numFmtId="166" formatCode="_([$€-2]\ * #,##0.00_);_([$€-2]\ * \(#,##0.00\);_([$€-2]\ * &quot;-&quot;??_);_(@_)"/>
    <numFmt numFmtId="167" formatCode="&quot;$&quot;#,##0.00_);[Red]\(&quot;$&quot;#,##0.00\)"/>
  </numFmts>
  <fonts count="57">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24"/>
      <color rgb="FF000000"/>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sz val="14"/>
      <color theme="1"/>
      <name val="Calibri"/>
      <family val="2"/>
      <charset val="238"/>
    </font>
    <font>
      <sz val="12"/>
      <color theme="1"/>
      <name val="Calibri"/>
      <family val="2"/>
      <charset val="238"/>
      <scheme val="minor"/>
    </font>
    <font>
      <b/>
      <sz val="9"/>
      <name val="Arial"/>
      <family val="2"/>
      <charset val="238"/>
    </font>
    <font>
      <sz val="11"/>
      <color rgb="FF9C65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vertAlign val="subscript"/>
      <sz val="10"/>
      <color indexed="8"/>
      <name val="Arial Narrow"/>
      <family val="2"/>
      <charset val="238"/>
    </font>
    <font>
      <b/>
      <sz val="10"/>
      <color theme="1"/>
      <name val="Calibri"/>
      <family val="2"/>
      <charset val="238"/>
      <scheme val="minor"/>
    </font>
    <font>
      <b/>
      <sz val="12"/>
      <color theme="1"/>
      <name val="Calibri"/>
      <family val="2"/>
      <charset val="238"/>
      <scheme val="minor"/>
    </font>
    <font>
      <sz val="10"/>
      <color theme="1"/>
      <name val="Calibri"/>
      <family val="2"/>
      <charset val="238"/>
      <scheme val="minor"/>
    </font>
    <font>
      <u/>
      <sz val="11"/>
      <color theme="10"/>
      <name val="Calibri"/>
      <family val="2"/>
      <charset val="238"/>
      <scheme val="minor"/>
    </font>
    <font>
      <sz val="11"/>
      <color theme="1"/>
      <name val="Calibri"/>
      <family val="2"/>
      <scheme val="minor"/>
    </font>
    <font>
      <sz val="9"/>
      <color theme="1"/>
      <name val="Roboto Slab"/>
    </font>
    <font>
      <sz val="11"/>
      <color theme="0"/>
      <name val="Calibri"/>
      <family val="2"/>
      <charset val="238"/>
      <scheme val="minor"/>
    </font>
    <font>
      <sz val="10"/>
      <color theme="1"/>
      <name val="Roboto Lt"/>
    </font>
    <font>
      <sz val="9"/>
      <color theme="1"/>
      <name val="Symbol"/>
      <family val="1"/>
      <charset val="2"/>
    </font>
    <font>
      <sz val="10"/>
      <color theme="0"/>
      <name val="Roboto Lt"/>
    </font>
    <font>
      <sz val="8"/>
      <name val="Calibri"/>
      <family val="2"/>
      <charset val="238"/>
      <scheme val="minor"/>
    </font>
    <font>
      <u/>
      <sz val="11"/>
      <color theme="11"/>
      <name val="Calibri"/>
      <family val="2"/>
      <charset val="238"/>
      <scheme val="minor"/>
    </font>
    <font>
      <sz val="10"/>
      <color rgb="FF000090"/>
      <name val="Arial"/>
      <family val="2"/>
      <charset val="238"/>
    </font>
    <font>
      <sz val="11"/>
      <color rgb="FF000090"/>
      <name val="Calibri"/>
      <family val="2"/>
      <charset val="238"/>
      <scheme val="minor"/>
    </font>
    <font>
      <sz val="9"/>
      <color theme="1"/>
      <name val="Calibri"/>
      <family val="2"/>
      <charset val="238"/>
      <scheme val="minor"/>
    </font>
    <font>
      <sz val="9"/>
      <color theme="0"/>
      <name val="Calibri"/>
      <family val="2"/>
      <charset val="238"/>
      <scheme val="minor"/>
    </font>
    <font>
      <b/>
      <sz val="9"/>
      <color theme="1"/>
      <name val="Calibri"/>
      <family val="2"/>
      <charset val="238"/>
      <scheme val="minor"/>
    </font>
    <font>
      <sz val="10"/>
      <color theme="1"/>
      <name val="Arial Narrow"/>
      <family val="2"/>
      <charset val="238"/>
    </font>
    <font>
      <b/>
      <sz val="9"/>
      <color theme="0"/>
      <name val="Calibri"/>
      <family val="2"/>
      <charset val="238"/>
      <scheme val="minor"/>
    </font>
    <font>
      <b/>
      <sz val="11"/>
      <color theme="0"/>
      <name val="Calibri"/>
      <family val="2"/>
      <charset val="238"/>
      <scheme val="minor"/>
    </font>
    <font>
      <sz val="9"/>
      <color theme="9" tint="0.39997558519241921"/>
      <name val="Calibri"/>
      <family val="2"/>
      <charset val="238"/>
      <scheme val="minor"/>
    </font>
  </fonts>
  <fills count="26">
    <fill>
      <patternFill patternType="none"/>
    </fill>
    <fill>
      <patternFill patternType="gray125"/>
    </fill>
    <fill>
      <patternFill patternType="solid">
        <fgColor rgb="FFA6A6A6"/>
        <bgColor indexed="64"/>
      </patternFill>
    </fill>
    <fill>
      <patternFill patternType="solid">
        <fgColor rgb="FFEDEDED"/>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bgColor indexed="64"/>
      </patternFill>
    </fill>
    <fill>
      <patternFill patternType="solid">
        <fgColor rgb="FFFFFFCC"/>
        <bgColor rgb="FF000000"/>
      </patternFill>
    </fill>
    <fill>
      <patternFill patternType="solid">
        <fgColor theme="3"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3"/>
        <bgColor indexed="64"/>
      </patternFill>
    </fill>
    <fill>
      <patternFill patternType="solid">
        <fgColor theme="5" tint="-0.249977111117893"/>
        <bgColor indexed="64"/>
      </patternFill>
    </fill>
    <fill>
      <patternFill patternType="solid">
        <fgColor theme="4" tint="-0.499984740745262"/>
        <bgColor indexed="64"/>
      </patternFill>
    </fill>
  </fills>
  <borders count="117">
    <border>
      <left/>
      <right/>
      <top/>
      <bottom/>
      <diagonal/>
    </border>
    <border>
      <left style="thick">
        <color auto="1"/>
      </left>
      <right style="medium">
        <color auto="1"/>
      </right>
      <top style="thick">
        <color auto="1"/>
      </top>
      <bottom style="thick">
        <color auto="1"/>
      </bottom>
      <diagonal/>
    </border>
    <border>
      <left/>
      <right style="medium">
        <color auto="1"/>
      </right>
      <top style="thick">
        <color auto="1"/>
      </top>
      <bottom style="thick">
        <color auto="1"/>
      </bottom>
      <diagonal/>
    </border>
    <border>
      <left/>
      <right style="thick">
        <color auto="1"/>
      </right>
      <top style="thick">
        <color auto="1"/>
      </top>
      <bottom style="thick">
        <color auto="1"/>
      </bottom>
      <diagonal/>
    </border>
    <border>
      <left style="medium">
        <color auto="1"/>
      </left>
      <right style="thick">
        <color auto="1"/>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thick">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thick">
        <color auto="1"/>
      </top>
      <bottom style="thick">
        <color auto="1"/>
      </bottom>
      <diagonal/>
    </border>
    <border>
      <left style="thick">
        <color auto="1"/>
      </left>
      <right style="medium">
        <color auto="1"/>
      </right>
      <top style="medium">
        <color auto="1"/>
      </top>
      <bottom/>
      <diagonal/>
    </border>
    <border>
      <left style="thick">
        <color auto="1"/>
      </left>
      <right style="medium">
        <color auto="1"/>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thin">
        <color auto="1"/>
      </top>
      <bottom/>
      <diagonal/>
    </border>
    <border>
      <left/>
      <right/>
      <top style="thin">
        <color auto="1"/>
      </top>
      <bottom style="thin">
        <color auto="1"/>
      </bottom>
      <diagonal/>
    </border>
    <border>
      <left/>
      <right style="thin">
        <color auto="1"/>
      </right>
      <top style="medium">
        <color auto="1"/>
      </top>
      <bottom/>
      <diagonal/>
    </border>
    <border>
      <left/>
      <right style="thin">
        <color rgb="FF7F7F7F"/>
      </right>
      <top style="thin">
        <color rgb="FF7F7F7F"/>
      </top>
      <bottom style="thin">
        <color rgb="FF7F7F7F"/>
      </bottom>
      <diagonal/>
    </border>
    <border>
      <left style="thin">
        <color rgb="FF7F7F7F"/>
      </left>
      <right style="medium">
        <color auto="1"/>
      </right>
      <top style="thin">
        <color rgb="FF7F7F7F"/>
      </top>
      <bottom style="thin">
        <color rgb="FF7F7F7F"/>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rgb="FFB2B2B2"/>
      </right>
      <top style="thin">
        <color rgb="FFB2B2B2"/>
      </top>
      <bottom style="thin">
        <color rgb="FFB2B2B2"/>
      </bottom>
      <diagonal/>
    </border>
    <border>
      <left style="thin">
        <color rgb="FF7F7F7F"/>
      </left>
      <right style="medium">
        <color auto="1"/>
      </right>
      <top style="medium">
        <color auto="1"/>
      </top>
      <bottom style="thin">
        <color rgb="FF7F7F7F"/>
      </bottom>
      <diagonal/>
    </border>
    <border>
      <left style="medium">
        <color auto="1"/>
      </left>
      <right style="thin">
        <color rgb="FF7F7F7F"/>
      </right>
      <top style="thin">
        <color rgb="FF7F7F7F"/>
      </top>
      <bottom style="medium">
        <color auto="1"/>
      </bottom>
      <diagonal/>
    </border>
    <border>
      <left style="thin">
        <color rgb="FF7F7F7F"/>
      </left>
      <right style="thin">
        <color rgb="FF7F7F7F"/>
      </right>
      <top style="thin">
        <color rgb="FF7F7F7F"/>
      </top>
      <bottom style="medium">
        <color auto="1"/>
      </bottom>
      <diagonal/>
    </border>
    <border>
      <left style="thin">
        <color rgb="FF7F7F7F"/>
      </left>
      <right style="medium">
        <color auto="1"/>
      </right>
      <top style="thin">
        <color rgb="FF7F7F7F"/>
      </top>
      <bottom style="medium">
        <color auto="1"/>
      </bottom>
      <diagonal/>
    </border>
    <border>
      <left/>
      <right style="thin">
        <color rgb="FF7F7F7F"/>
      </right>
      <top style="thin">
        <color rgb="FF7F7F7F"/>
      </top>
      <bottom style="medium">
        <color auto="1"/>
      </bottom>
      <diagonal/>
    </border>
    <border>
      <left style="medium">
        <color auto="1"/>
      </left>
      <right style="thin">
        <color rgb="FF7F7F7F"/>
      </right>
      <top/>
      <bottom style="medium">
        <color auto="1"/>
      </bottom>
      <diagonal/>
    </border>
    <border>
      <left style="thin">
        <color rgb="FF7F7F7F"/>
      </left>
      <right style="thin">
        <color rgb="FF7F7F7F"/>
      </right>
      <top/>
      <bottom style="medium">
        <color auto="1"/>
      </bottom>
      <diagonal/>
    </border>
    <border>
      <left style="thin">
        <color rgb="FF7F7F7F"/>
      </left>
      <right style="medium">
        <color auto="1"/>
      </right>
      <top/>
      <bottom style="medium">
        <color auto="1"/>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medium">
        <color auto="1"/>
      </right>
      <top/>
      <bottom style="thin">
        <color rgb="FF7F7F7F"/>
      </bottom>
      <diagonal/>
    </border>
    <border>
      <left style="thin">
        <color rgb="FFB2B2B2"/>
      </left>
      <right style="thin">
        <color rgb="FFB2B2B2"/>
      </right>
      <top/>
      <bottom style="thin">
        <color rgb="FFB2B2B2"/>
      </bottom>
      <diagonal/>
    </border>
    <border>
      <left/>
      <right style="thin">
        <color rgb="FF7F7F7F"/>
      </right>
      <top style="medium">
        <color auto="1"/>
      </top>
      <bottom style="thin">
        <color rgb="FF7F7F7F"/>
      </bottom>
      <diagonal/>
    </border>
    <border>
      <left style="thin">
        <color rgb="FF7F7F7F"/>
      </left>
      <right style="thin">
        <color rgb="FF7F7F7F"/>
      </right>
      <top style="medium">
        <color auto="1"/>
      </top>
      <bottom style="thin">
        <color rgb="FF7F7F7F"/>
      </bottom>
      <diagonal/>
    </border>
    <border>
      <left style="thin">
        <color rgb="FFB2B2B2"/>
      </left>
      <right style="thin">
        <color rgb="FFB2B2B2"/>
      </right>
      <top style="medium">
        <color auto="1"/>
      </top>
      <bottom style="thin">
        <color rgb="FFB2B2B2"/>
      </bottom>
      <diagonal/>
    </border>
    <border>
      <left style="thin">
        <color rgb="FFB2B2B2"/>
      </left>
      <right style="medium">
        <color auto="1"/>
      </right>
      <top style="medium">
        <color auto="1"/>
      </top>
      <bottom style="thin">
        <color rgb="FFB2B2B2"/>
      </bottom>
      <diagonal/>
    </border>
    <border>
      <left style="thin">
        <color rgb="FFB2B2B2"/>
      </left>
      <right style="medium">
        <color auto="1"/>
      </right>
      <top style="thin">
        <color rgb="FFB2B2B2"/>
      </top>
      <bottom style="thin">
        <color rgb="FFB2B2B2"/>
      </bottom>
      <diagonal/>
    </border>
    <border>
      <left style="thin">
        <color rgb="FFB2B2B2"/>
      </left>
      <right style="thin">
        <color rgb="FFB2B2B2"/>
      </right>
      <top style="thin">
        <color rgb="FFB2B2B2"/>
      </top>
      <bottom style="medium">
        <color auto="1"/>
      </bottom>
      <diagonal/>
    </border>
    <border>
      <left style="thin">
        <color rgb="FFB2B2B2"/>
      </left>
      <right style="medium">
        <color auto="1"/>
      </right>
      <top style="thin">
        <color rgb="FFB2B2B2"/>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medium">
        <color auto="1"/>
      </right>
      <top style="medium">
        <color auto="1"/>
      </top>
      <bottom/>
      <diagonal/>
    </border>
    <border>
      <left style="thin">
        <color rgb="FFB2B2B2"/>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thin">
        <color rgb="FF7F7F7F"/>
      </left>
      <right style="thin">
        <color rgb="FF7F7F7F"/>
      </right>
      <top style="thin">
        <color rgb="FF7F7F7F"/>
      </top>
      <bottom/>
      <diagonal/>
    </border>
    <border>
      <left style="medium">
        <color auto="1"/>
      </left>
      <right style="thin">
        <color rgb="FF7F7F7F"/>
      </right>
      <top style="medium">
        <color auto="1"/>
      </top>
      <bottom style="medium">
        <color auto="1"/>
      </bottom>
      <diagonal/>
    </border>
    <border>
      <left style="thin">
        <color rgb="FF7F7F7F"/>
      </left>
      <right style="thin">
        <color rgb="FF7F7F7F"/>
      </right>
      <top style="medium">
        <color auto="1"/>
      </top>
      <bottom style="medium">
        <color auto="1"/>
      </bottom>
      <diagonal/>
    </border>
    <border>
      <left style="thin">
        <color rgb="FF7F7F7F"/>
      </left>
      <right style="medium">
        <color auto="1"/>
      </right>
      <top style="medium">
        <color auto="1"/>
      </top>
      <bottom style="medium">
        <color auto="1"/>
      </bottom>
      <diagonal/>
    </border>
    <border>
      <left style="thin">
        <color rgb="FF7F7F7F"/>
      </left>
      <right style="thin">
        <color auto="1"/>
      </right>
      <top style="medium">
        <color auto="1"/>
      </top>
      <bottom style="thin">
        <color rgb="FF7F7F7F"/>
      </bottom>
      <diagonal/>
    </border>
    <border>
      <left style="thin">
        <color rgb="FF7F7F7F"/>
      </left>
      <right style="thin">
        <color auto="1"/>
      </right>
      <top style="thin">
        <color rgb="FF7F7F7F"/>
      </top>
      <bottom style="thin">
        <color rgb="FF7F7F7F"/>
      </bottom>
      <diagonal/>
    </border>
    <border>
      <left style="thin">
        <color rgb="FF7F7F7F"/>
      </left>
      <right style="thin">
        <color auto="1"/>
      </right>
      <top style="thin">
        <color rgb="FF7F7F7F"/>
      </top>
      <bottom style="thin">
        <color auto="1"/>
      </bottom>
      <diagonal/>
    </border>
    <border>
      <left style="thin">
        <color auto="1"/>
      </left>
      <right style="medium">
        <color auto="1"/>
      </right>
      <top style="medium">
        <color auto="1"/>
      </top>
      <bottom/>
      <diagonal/>
    </border>
    <border>
      <left/>
      <right style="thin">
        <color rgb="FF7F7F7F"/>
      </right>
      <top style="thin">
        <color rgb="FF7F7F7F"/>
      </top>
      <bottom/>
      <diagonal/>
    </border>
    <border>
      <left/>
      <right style="medium">
        <color auto="1"/>
      </right>
      <top style="medium">
        <color auto="1"/>
      </top>
      <bottom style="thin">
        <color rgb="FF7F7F7F"/>
      </bottom>
      <diagonal/>
    </border>
    <border>
      <left/>
      <right style="medium">
        <color auto="1"/>
      </right>
      <top style="thin">
        <color rgb="FF7F7F7F"/>
      </top>
      <bottom style="thin">
        <color rgb="FF7F7F7F"/>
      </bottom>
      <diagonal/>
    </border>
    <border>
      <left/>
      <right style="medium">
        <color auto="1"/>
      </right>
      <top style="thin">
        <color rgb="FF7F7F7F"/>
      </top>
      <bottom/>
      <diagonal/>
    </border>
    <border>
      <left style="medium">
        <color auto="1"/>
      </left>
      <right style="medium">
        <color auto="1"/>
      </right>
      <top/>
      <bottom/>
      <diagonal/>
    </border>
    <border>
      <left style="medium">
        <color auto="1"/>
      </left>
      <right style="medium">
        <color auto="1"/>
      </right>
      <top style="medium">
        <color auto="1"/>
      </top>
      <bottom style="thin">
        <color rgb="FF7F7F7F"/>
      </bottom>
      <diagonal/>
    </border>
    <border>
      <left style="medium">
        <color auto="1"/>
      </left>
      <right style="medium">
        <color auto="1"/>
      </right>
      <top style="thin">
        <color rgb="FF7F7F7F"/>
      </top>
      <bottom style="thin">
        <color rgb="FF7F7F7F"/>
      </bottom>
      <diagonal/>
    </border>
    <border>
      <left style="medium">
        <color auto="1"/>
      </left>
      <right style="medium">
        <color auto="1"/>
      </right>
      <top style="thin">
        <color rgb="FF7F7F7F"/>
      </top>
      <bottom/>
      <diagonal/>
    </border>
    <border>
      <left/>
      <right style="thin">
        <color auto="1"/>
      </right>
      <top style="thin">
        <color auto="1"/>
      </top>
      <bottom style="thin">
        <color auto="1"/>
      </bottom>
      <diagonal/>
    </border>
    <border>
      <left style="thin">
        <color auto="1"/>
      </left>
      <right/>
      <top style="medium">
        <color auto="1"/>
      </top>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rgb="FFB2B2B2"/>
      </right>
      <top style="medium">
        <color auto="1"/>
      </top>
      <bottom style="thin">
        <color rgb="FFB2B2B2"/>
      </bottom>
      <diagonal/>
    </border>
    <border>
      <left/>
      <right style="thin">
        <color rgb="FFB2B2B2"/>
      </right>
      <top style="thin">
        <color rgb="FFB2B2B2"/>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rgb="FF7F7F7F"/>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rgb="FF7F7F7F"/>
      </left>
      <right style="thin">
        <color auto="1"/>
      </right>
      <top style="medium">
        <color auto="1"/>
      </top>
      <bottom style="medium">
        <color auto="1"/>
      </bottom>
      <diagonal/>
    </border>
    <border>
      <left style="medium">
        <color auto="1"/>
      </left>
      <right style="medium">
        <color auto="1"/>
      </right>
      <top style="medium">
        <color auto="1"/>
      </top>
      <bottom style="thin">
        <color rgb="FFB2B2B2"/>
      </bottom>
      <diagonal/>
    </border>
    <border>
      <left style="medium">
        <color auto="1"/>
      </left>
      <right style="medium">
        <color auto="1"/>
      </right>
      <top style="thin">
        <color rgb="FFB2B2B2"/>
      </top>
      <bottom style="medium">
        <color auto="1"/>
      </bottom>
      <diagonal/>
    </border>
    <border>
      <left style="medium">
        <color auto="1"/>
      </left>
      <right style="thin">
        <color rgb="FF7F7F7F"/>
      </right>
      <top style="thin">
        <color rgb="FF7F7F7F"/>
      </top>
      <bottom style="thin">
        <color rgb="FF7F7F7F"/>
      </bottom>
      <diagonal/>
    </border>
    <border>
      <left/>
      <right style="medium">
        <color auto="1"/>
      </right>
      <top style="thin">
        <color rgb="FF7F7F7F"/>
      </top>
      <bottom style="medium">
        <color auto="1"/>
      </bottom>
      <diagonal/>
    </border>
    <border>
      <left style="medium">
        <color auto="1"/>
      </left>
      <right style="thin">
        <color rgb="FFB2B2B2"/>
      </right>
      <top style="thin">
        <color rgb="FFB2B2B2"/>
      </top>
      <bottom style="thin">
        <color rgb="FFB2B2B2"/>
      </bottom>
      <diagonal/>
    </border>
    <border>
      <left style="medium">
        <color auto="1"/>
      </left>
      <right style="thin">
        <color rgb="FFB2B2B2"/>
      </right>
      <top style="thin">
        <color rgb="FFB2B2B2"/>
      </top>
      <bottom style="medium">
        <color auto="1"/>
      </bottom>
      <diagonal/>
    </border>
    <border>
      <left style="medium">
        <color auto="1"/>
      </left>
      <right style="thin">
        <color rgb="FF7F7F7F"/>
      </right>
      <top style="medium">
        <color auto="1"/>
      </top>
      <bottom style="thin">
        <color rgb="FF7F7F7F"/>
      </bottom>
      <diagonal/>
    </border>
    <border>
      <left style="medium">
        <color auto="1"/>
      </left>
      <right style="thin">
        <color rgb="FF7F7F7F"/>
      </right>
      <top/>
      <bottom style="thin">
        <color rgb="FF7F7F7F"/>
      </bottom>
      <diagonal/>
    </border>
    <border>
      <left style="thin">
        <color rgb="FFB2B2B2"/>
      </left>
      <right style="thin">
        <color rgb="FFB2B2B2"/>
      </right>
      <top/>
      <bottom style="medium">
        <color auto="1"/>
      </bottom>
      <diagonal/>
    </border>
    <border>
      <left/>
      <right style="thin">
        <color rgb="FFB2B2B2"/>
      </right>
      <top/>
      <bottom style="thin">
        <color rgb="FFB2B2B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rgb="FFB2B2B2"/>
      </left>
      <right style="thin">
        <color rgb="FFB2B2B2"/>
      </right>
      <top style="thin">
        <color rgb="FFB2B2B2"/>
      </top>
      <bottom style="thin">
        <color auto="1"/>
      </bottom>
      <diagonal/>
    </border>
    <border>
      <left/>
      <right style="thin">
        <color rgb="FFB2B2B2"/>
      </right>
      <top style="thin">
        <color rgb="FFB2B2B2"/>
      </top>
      <bottom style="thin">
        <color auto="1"/>
      </bottom>
      <diagonal/>
    </border>
    <border>
      <left style="thin">
        <color rgb="FFB2B2B2"/>
      </left>
      <right style="thin">
        <color auto="1"/>
      </right>
      <top style="thin">
        <color rgb="FFB2B2B2"/>
      </top>
      <bottom style="medium">
        <color auto="1"/>
      </bottom>
      <diagonal/>
    </border>
  </borders>
  <cellStyleXfs count="16">
    <xf numFmtId="0" fontId="0" fillId="0" borderId="0"/>
    <xf numFmtId="0" fontId="6" fillId="4" borderId="0" applyNumberFormat="0" applyBorder="0" applyAlignment="0" applyProtection="0"/>
    <xf numFmtId="0" fontId="7" fillId="5" borderId="16" applyNumberFormat="0" applyAlignment="0" applyProtection="0"/>
    <xf numFmtId="0" fontId="2" fillId="6" borderId="17" applyNumberFormat="0" applyFont="0" applyAlignment="0" applyProtection="0"/>
    <xf numFmtId="164" fontId="2" fillId="0" borderId="0" applyFont="0" applyFill="0" applyBorder="0" applyAlignment="0" applyProtection="0"/>
    <xf numFmtId="9" fontId="2" fillId="0" borderId="0" applyFont="0" applyFill="0" applyBorder="0" applyAlignment="0" applyProtection="0"/>
    <xf numFmtId="0" fontId="39" fillId="0" borderId="0" applyNumberFormat="0" applyFill="0" applyBorder="0" applyAlignment="0" applyProtection="0"/>
    <xf numFmtId="0" fontId="40" fillId="0" borderId="0"/>
    <xf numFmtId="43" fontId="40"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cellStyleXfs>
  <cellXfs count="464">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5" fillId="3" borderId="4" xfId="0" applyFont="1" applyFill="1" applyBorder="1" applyAlignment="1">
      <alignment horizontal="left" vertical="top" wrapText="1"/>
    </xf>
    <xf numFmtId="0" fontId="5" fillId="3" borderId="5" xfId="0" applyFont="1" applyFill="1" applyBorder="1" applyAlignment="1">
      <alignment horizontal="justify" vertical="top" wrapText="1"/>
    </xf>
    <xf numFmtId="0" fontId="5" fillId="3" borderId="6" xfId="0" applyFont="1" applyFill="1" applyBorder="1" applyAlignment="1">
      <alignment horizontal="justify" vertical="top" wrapText="1"/>
    </xf>
    <xf numFmtId="0" fontId="3" fillId="2" borderId="10" xfId="0" applyFont="1" applyFill="1" applyBorder="1" applyAlignment="1">
      <alignment horizontal="center" vertical="top" wrapText="1"/>
    </xf>
    <xf numFmtId="0" fontId="5" fillId="3" borderId="5" xfId="0" applyFont="1" applyFill="1" applyBorder="1" applyAlignment="1">
      <alignment horizontal="center" vertical="top" wrapText="1"/>
    </xf>
    <xf numFmtId="0" fontId="4" fillId="0" borderId="0" xfId="0" applyFont="1" applyAlignment="1">
      <alignment horizontal="center" vertical="top"/>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7" borderId="0" xfId="0" applyFill="1" applyBorder="1" applyAlignment="1">
      <alignment horizontal="left" vertical="top" wrapText="1"/>
    </xf>
    <xf numFmtId="0" fontId="4" fillId="7" borderId="14" xfId="0" applyFont="1" applyFill="1" applyBorder="1" applyAlignment="1">
      <alignment horizontal="left" vertical="top" wrapText="1"/>
    </xf>
    <xf numFmtId="0" fontId="4" fillId="7" borderId="24" xfId="0" applyFont="1" applyFill="1" applyBorder="1" applyAlignment="1">
      <alignment horizontal="left" vertical="top" wrapText="1"/>
    </xf>
    <xf numFmtId="0" fontId="9" fillId="7" borderId="15" xfId="0" applyFont="1" applyFill="1" applyBorder="1" applyAlignment="1">
      <alignment horizontal="left" vertical="top" wrapText="1"/>
    </xf>
    <xf numFmtId="0" fontId="10" fillId="7" borderId="31" xfId="0" applyFont="1" applyFill="1" applyBorder="1" applyAlignment="1">
      <alignment horizontal="left" vertical="top" wrapText="1"/>
    </xf>
    <xf numFmtId="0" fontId="0" fillId="7" borderId="32" xfId="0" applyFill="1" applyBorder="1" applyAlignment="1">
      <alignment horizontal="left" vertical="top" wrapText="1"/>
    </xf>
    <xf numFmtId="0" fontId="0" fillId="8" borderId="15" xfId="0" applyFill="1" applyBorder="1" applyAlignment="1">
      <alignment vertical="top" wrapText="1"/>
    </xf>
    <xf numFmtId="0" fontId="0" fillId="8" borderId="26" xfId="0" applyFill="1" applyBorder="1" applyAlignment="1">
      <alignment vertical="top" wrapText="1"/>
    </xf>
    <xf numFmtId="0" fontId="11" fillId="8" borderId="5" xfId="0" applyFont="1" applyFill="1" applyBorder="1" applyAlignment="1">
      <alignmen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xf numFmtId="0" fontId="11" fillId="0" borderId="6" xfId="0" applyFont="1" applyBorder="1" applyAlignment="1">
      <alignment horizontal="left" vertical="top" wrapText="1"/>
    </xf>
    <xf numFmtId="0" fontId="0" fillId="0" borderId="20" xfId="0" applyBorder="1" applyAlignment="1">
      <alignment horizontal="left" vertical="top" wrapText="1"/>
    </xf>
    <xf numFmtId="0" fontId="0" fillId="7" borderId="0" xfId="0" applyFill="1" applyAlignment="1">
      <alignment horizontal="left" vertical="top" wrapText="1"/>
    </xf>
    <xf numFmtId="0" fontId="9" fillId="7" borderId="0" xfId="0" applyFont="1" applyFill="1" applyAlignment="1">
      <alignment horizontal="left" vertical="top" wrapText="1"/>
    </xf>
    <xf numFmtId="0" fontId="9" fillId="8" borderId="0" xfId="0" applyFont="1" applyFill="1" applyAlignment="1">
      <alignment horizontal="left" vertical="top" wrapText="1"/>
    </xf>
    <xf numFmtId="0" fontId="9" fillId="8" borderId="0" xfId="0" applyFont="1" applyFill="1" applyBorder="1" applyAlignment="1">
      <alignment horizontal="center" vertical="top" wrapText="1"/>
    </xf>
    <xf numFmtId="0" fontId="12" fillId="8" borderId="6" xfId="0" applyFont="1" applyFill="1" applyBorder="1" applyAlignment="1">
      <alignment horizontal="center" vertical="top" wrapText="1"/>
    </xf>
    <xf numFmtId="0" fontId="9" fillId="8" borderId="20" xfId="0" applyFont="1" applyFill="1" applyBorder="1" applyAlignment="1">
      <alignment horizontal="center" vertical="top" wrapText="1"/>
    </xf>
    <xf numFmtId="0" fontId="9" fillId="8" borderId="19" xfId="0" applyFont="1" applyFill="1" applyBorder="1" applyAlignment="1">
      <alignment horizontal="center" vertical="top" wrapText="1"/>
    </xf>
    <xf numFmtId="0" fontId="0" fillId="7" borderId="18" xfId="0" applyFill="1" applyBorder="1" applyAlignment="1">
      <alignment horizontal="left" vertical="top" wrapText="1"/>
    </xf>
    <xf numFmtId="0" fontId="9" fillId="8" borderId="0" xfId="0" applyFont="1" applyFill="1" applyBorder="1" applyAlignment="1">
      <alignment horizontal="left" vertical="top" wrapText="1"/>
    </xf>
    <xf numFmtId="0" fontId="0" fillId="8" borderId="0" xfId="0" applyFill="1" applyBorder="1" applyAlignment="1">
      <alignment vertical="top" wrapText="1"/>
    </xf>
    <xf numFmtId="0" fontId="0" fillId="8" borderId="25" xfId="0" applyFill="1" applyBorder="1" applyAlignment="1">
      <alignment vertical="top" wrapText="1"/>
    </xf>
    <xf numFmtId="0" fontId="11" fillId="8" borderId="27" xfId="0" applyFont="1" applyFill="1" applyBorder="1" applyAlignment="1">
      <alignment vertical="top" wrapText="1"/>
    </xf>
    <xf numFmtId="0" fontId="0" fillId="8" borderId="24" xfId="0" applyFill="1" applyBorder="1" applyAlignment="1">
      <alignment vertical="top" wrapText="1"/>
    </xf>
    <xf numFmtId="0" fontId="11" fillId="8" borderId="6" xfId="0" applyFont="1" applyFill="1" applyBorder="1" applyAlignment="1">
      <alignment vertical="top" wrapText="1"/>
    </xf>
    <xf numFmtId="0" fontId="0" fillId="0" borderId="6" xfId="0" applyBorder="1" applyAlignment="1">
      <alignment horizontal="left" vertical="top" wrapText="1"/>
    </xf>
    <xf numFmtId="4" fontId="7" fillId="5" borderId="16" xfId="2" applyNumberFormat="1" applyAlignment="1">
      <alignment horizontal="right" vertical="top" wrapText="1"/>
    </xf>
    <xf numFmtId="3" fontId="7" fillId="5" borderId="36" xfId="2" applyNumberFormat="1" applyBorder="1" applyAlignment="1">
      <alignment horizontal="right" vertical="top" wrapText="1"/>
    </xf>
    <xf numFmtId="4" fontId="7" fillId="5" borderId="36" xfId="2" applyNumberFormat="1" applyBorder="1" applyAlignment="1">
      <alignment horizontal="right" vertical="top" wrapText="1"/>
    </xf>
    <xf numFmtId="0" fontId="9" fillId="8" borderId="6" xfId="0" applyFont="1" applyFill="1" applyBorder="1" applyAlignment="1">
      <alignment horizontal="left" vertical="top" wrapText="1"/>
    </xf>
    <xf numFmtId="3" fontId="7" fillId="5" borderId="37" xfId="2" applyNumberFormat="1" applyBorder="1" applyAlignment="1">
      <alignment horizontal="right" vertical="top" wrapText="1"/>
    </xf>
    <xf numFmtId="4" fontId="7" fillId="5" borderId="37" xfId="2" applyNumberFormat="1" applyBorder="1" applyAlignment="1">
      <alignment horizontal="right" vertical="top" wrapText="1"/>
    </xf>
    <xf numFmtId="2" fontId="6" fillId="4" borderId="5" xfId="1" applyNumberFormat="1" applyBorder="1" applyAlignment="1">
      <alignment horizontal="right" vertical="top" wrapText="1"/>
    </xf>
    <xf numFmtId="4" fontId="13" fillId="6" borderId="17" xfId="3" applyNumberFormat="1" applyFont="1" applyAlignment="1">
      <alignment horizontal="right" vertical="top" wrapText="1"/>
    </xf>
    <xf numFmtId="4" fontId="6" fillId="4" borderId="0" xfId="1" applyNumberFormat="1" applyBorder="1" applyAlignment="1">
      <alignment horizontal="right" vertical="top" wrapText="1"/>
    </xf>
    <xf numFmtId="4" fontId="6" fillId="4" borderId="21" xfId="1" applyNumberFormat="1" applyBorder="1" applyAlignment="1">
      <alignment horizontal="right" vertical="top" wrapText="1"/>
    </xf>
    <xf numFmtId="0" fontId="7" fillId="5"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4" fontId="13" fillId="6" borderId="42" xfId="3" applyNumberFormat="1" applyFont="1" applyBorder="1" applyAlignment="1">
      <alignment horizontal="right" vertical="top" wrapText="1"/>
    </xf>
    <xf numFmtId="4" fontId="7" fillId="5" borderId="43" xfId="2" applyNumberFormat="1" applyBorder="1" applyAlignment="1">
      <alignment horizontal="right" vertical="top" wrapText="1"/>
    </xf>
    <xf numFmtId="0" fontId="9" fillId="0" borderId="6" xfId="0" applyFont="1" applyBorder="1" applyAlignment="1">
      <alignment horizontal="right" vertical="top" wrapText="1"/>
    </xf>
    <xf numFmtId="4" fontId="7" fillId="5" borderId="44" xfId="2" applyNumberFormat="1" applyBorder="1" applyAlignment="1">
      <alignment horizontal="right" vertical="top" wrapText="1"/>
    </xf>
    <xf numFmtId="4" fontId="7" fillId="5" borderId="45" xfId="2" applyNumberFormat="1" applyBorder="1" applyAlignment="1">
      <alignment horizontal="right" vertical="top" wrapText="1"/>
    </xf>
    <xf numFmtId="4" fontId="7" fillId="5" borderId="46" xfId="2" applyNumberFormat="1" applyBorder="1" applyAlignment="1">
      <alignment horizontal="right" vertical="top" wrapText="1"/>
    </xf>
    <xf numFmtId="4" fontId="7" fillId="5" borderId="47" xfId="2" applyNumberFormat="1" applyBorder="1" applyAlignment="1">
      <alignment horizontal="right" vertical="top" wrapText="1"/>
    </xf>
    <xf numFmtId="4" fontId="7" fillId="5" borderId="48" xfId="2" applyNumberFormat="1" applyBorder="1" applyAlignment="1">
      <alignment horizontal="right" vertical="top" wrapText="1"/>
    </xf>
    <xf numFmtId="4" fontId="7" fillId="5" borderId="49" xfId="2" applyNumberFormat="1" applyBorder="1" applyAlignment="1">
      <alignment horizontal="right" vertical="top" wrapText="1"/>
    </xf>
    <xf numFmtId="4" fontId="7" fillId="5" borderId="50" xfId="2" applyNumberFormat="1" applyBorder="1" applyAlignment="1">
      <alignment horizontal="right" vertical="top" wrapText="1"/>
    </xf>
    <xf numFmtId="0" fontId="0" fillId="0" borderId="13" xfId="0" applyBorder="1" applyAlignment="1">
      <alignment horizontal="left" vertical="top" wrapText="1"/>
    </xf>
    <xf numFmtId="3" fontId="7" fillId="5" borderId="55" xfId="2" applyNumberFormat="1" applyBorder="1" applyAlignment="1">
      <alignment horizontal="right" vertical="top" wrapText="1"/>
    </xf>
    <xf numFmtId="3" fontId="7" fillId="5" borderId="43" xfId="2" applyNumberFormat="1" applyBorder="1" applyAlignment="1">
      <alignment horizontal="right" vertical="top" wrapText="1"/>
    </xf>
    <xf numFmtId="0" fontId="13" fillId="6" borderId="57" xfId="3" applyFont="1" applyBorder="1" applyAlignment="1">
      <alignment horizontal="right" vertical="top" wrapText="1"/>
    </xf>
    <xf numFmtId="0" fontId="13" fillId="6" borderId="58" xfId="3" applyFont="1" applyBorder="1" applyAlignment="1">
      <alignment horizontal="right" vertical="top" wrapText="1"/>
    </xf>
    <xf numFmtId="0" fontId="13" fillId="6" borderId="17" xfId="3" applyFont="1" applyBorder="1" applyAlignment="1">
      <alignment horizontal="right" vertical="top" wrapText="1"/>
    </xf>
    <xf numFmtId="0" fontId="13" fillId="6" borderId="59" xfId="3" applyFont="1" applyBorder="1" applyAlignment="1">
      <alignment horizontal="right" vertical="top" wrapText="1"/>
    </xf>
    <xf numFmtId="0" fontId="0" fillId="0" borderId="5" xfId="0" applyBorder="1" applyAlignment="1">
      <alignment horizontal="left" vertical="top" wrapText="1"/>
    </xf>
    <xf numFmtId="3" fontId="7" fillId="5" borderId="47" xfId="2" applyNumberFormat="1" applyBorder="1" applyAlignment="1">
      <alignment horizontal="right" vertical="top" wrapText="1"/>
    </xf>
    <xf numFmtId="3" fontId="7" fillId="5" borderId="45" xfId="2" applyNumberFormat="1" applyBorder="1" applyAlignment="1">
      <alignment horizontal="right" vertical="top" wrapText="1"/>
    </xf>
    <xf numFmtId="3" fontId="7" fillId="5" borderId="46" xfId="2" applyNumberFormat="1" applyBorder="1" applyAlignment="1">
      <alignment horizontal="right" vertical="top" wrapText="1"/>
    </xf>
    <xf numFmtId="0" fontId="13" fillId="6" borderId="60" xfId="3" applyFont="1" applyBorder="1" applyAlignment="1">
      <alignment horizontal="right" vertical="top" wrapText="1"/>
    </xf>
    <xf numFmtId="0" fontId="13" fillId="6" borderId="61" xfId="3" applyFont="1" applyBorder="1" applyAlignment="1">
      <alignment horizontal="right" vertical="top" wrapText="1"/>
    </xf>
    <xf numFmtId="4" fontId="7" fillId="5" borderId="55" xfId="2" applyNumberFormat="1" applyBorder="1" applyAlignment="1">
      <alignment horizontal="right" vertical="top" wrapText="1"/>
    </xf>
    <xf numFmtId="3" fontId="7" fillId="5" borderId="51" xfId="2" applyNumberFormat="1" applyBorder="1" applyAlignment="1">
      <alignment horizontal="right" vertical="top" wrapText="1"/>
    </xf>
    <xf numFmtId="3" fontId="7" fillId="5" borderId="52" xfId="2" applyNumberFormat="1" applyBorder="1" applyAlignment="1">
      <alignment horizontal="right" vertical="top" wrapText="1"/>
    </xf>
    <xf numFmtId="3" fontId="7" fillId="5" borderId="53" xfId="2" applyNumberFormat="1" applyBorder="1" applyAlignment="1">
      <alignment horizontal="right" vertical="top" wrapText="1"/>
    </xf>
    <xf numFmtId="0" fontId="14" fillId="0" borderId="0" xfId="0" applyFont="1" applyBorder="1"/>
    <xf numFmtId="0" fontId="0" fillId="7" borderId="33" xfId="0" applyFill="1" applyBorder="1" applyAlignment="1">
      <alignment horizontal="left" vertical="top" wrapText="1"/>
    </xf>
    <xf numFmtId="0" fontId="0" fillId="7" borderId="6" xfId="0" applyFill="1" applyBorder="1" applyAlignment="1">
      <alignment horizontal="left" vertical="top" wrapText="1"/>
    </xf>
    <xf numFmtId="0" fontId="0" fillId="0" borderId="74" xfId="0" applyBorder="1" applyAlignment="1">
      <alignment horizontal="left" vertical="top" wrapText="1"/>
    </xf>
    <xf numFmtId="0" fontId="9" fillId="8" borderId="73" xfId="0" applyFont="1" applyFill="1" applyBorder="1" applyAlignment="1">
      <alignment horizontal="left" vertical="top" wrapText="1"/>
    </xf>
    <xf numFmtId="0" fontId="0" fillId="8" borderId="29" xfId="0" applyFill="1" applyBorder="1" applyAlignment="1">
      <alignment vertical="top" wrapText="1"/>
    </xf>
    <xf numFmtId="0" fontId="11" fillId="8" borderId="30" xfId="0" applyFont="1" applyFill="1" applyBorder="1" applyAlignment="1">
      <alignment vertical="top" wrapText="1"/>
    </xf>
    <xf numFmtId="4" fontId="7" fillId="5" borderId="75" xfId="2" applyNumberFormat="1" applyBorder="1" applyAlignment="1">
      <alignment horizontal="right" vertical="top" wrapText="1"/>
    </xf>
    <xf numFmtId="4" fontId="7" fillId="5" borderId="76" xfId="2" applyNumberFormat="1" applyBorder="1" applyAlignment="1">
      <alignment horizontal="right" vertical="top" wrapText="1"/>
    </xf>
    <xf numFmtId="4" fontId="7" fillId="5" borderId="77" xfId="2" applyNumberFormat="1" applyBorder="1" applyAlignment="1">
      <alignment horizontal="right" vertical="top" wrapText="1"/>
    </xf>
    <xf numFmtId="4" fontId="7" fillId="5" borderId="78" xfId="2" applyNumberFormat="1" applyBorder="1" applyAlignment="1">
      <alignment horizontal="right" vertical="top" wrapText="1"/>
    </xf>
    <xf numFmtId="4" fontId="7" fillId="5" borderId="79" xfId="2" applyNumberFormat="1" applyBorder="1" applyAlignment="1">
      <alignment horizontal="right" vertical="top" wrapText="1"/>
    </xf>
    <xf numFmtId="4" fontId="7" fillId="5" borderId="80" xfId="2" applyNumberFormat="1" applyBorder="1" applyAlignment="1">
      <alignment horizontal="right" vertical="top" wrapText="1"/>
    </xf>
    <xf numFmtId="4" fontId="7" fillId="5" borderId="81" xfId="2" applyNumberFormat="1" applyBorder="1" applyAlignment="1">
      <alignment horizontal="right" vertical="top" wrapText="1"/>
    </xf>
    <xf numFmtId="4" fontId="7" fillId="5" borderId="83" xfId="2" applyNumberFormat="1" applyBorder="1" applyAlignment="1">
      <alignment horizontal="right" vertical="top" wrapText="1"/>
    </xf>
    <xf numFmtId="0" fontId="0" fillId="0" borderId="82" xfId="0" applyBorder="1" applyAlignment="1">
      <alignment horizontal="left" vertical="top" wrapText="1"/>
    </xf>
    <xf numFmtId="0" fontId="10" fillId="7" borderId="35" xfId="0" applyFont="1" applyFill="1" applyBorder="1" applyAlignment="1">
      <alignment horizontal="left" vertical="top" wrapText="1"/>
    </xf>
    <xf numFmtId="0" fontId="0" fillId="7" borderId="27" xfId="0" applyFill="1" applyBorder="1" applyAlignment="1">
      <alignment horizontal="left" vertical="top" wrapText="1"/>
    </xf>
    <xf numFmtId="4" fontId="7" fillId="5" borderId="84" xfId="2" applyNumberFormat="1" applyBorder="1" applyAlignment="1">
      <alignment horizontal="right" vertical="top" wrapText="1"/>
    </xf>
    <xf numFmtId="4" fontId="7" fillId="5" borderId="85" xfId="2" applyNumberFormat="1" applyBorder="1" applyAlignment="1">
      <alignment horizontal="right" vertical="top" wrapText="1"/>
    </xf>
    <xf numFmtId="4" fontId="7" fillId="5" borderId="86" xfId="2" applyNumberFormat="1" applyBorder="1" applyAlignment="1">
      <alignment horizontal="righ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6" fillId="4" borderId="87" xfId="1" applyBorder="1" applyAlignment="1">
      <alignment horizontal="right" vertical="top" wrapText="1"/>
    </xf>
    <xf numFmtId="4" fontId="7" fillId="5" borderId="36" xfId="2" applyNumberFormat="1" applyBorder="1" applyAlignment="1">
      <alignment horizontal="left" vertical="top" wrapText="1"/>
    </xf>
    <xf numFmtId="4" fontId="7" fillId="5" borderId="88" xfId="2" applyNumberFormat="1" applyBorder="1" applyAlignment="1">
      <alignment horizontal="right" vertical="top" wrapText="1"/>
    </xf>
    <xf numFmtId="4" fontId="7" fillId="5" borderId="89" xfId="2" applyNumberFormat="1" applyBorder="1" applyAlignment="1">
      <alignment horizontal="right" vertical="top" wrapText="1"/>
    </xf>
    <xf numFmtId="4" fontId="7" fillId="5" borderId="90" xfId="2" applyNumberFormat="1" applyBorder="1" applyAlignment="1">
      <alignment horizontal="right" vertical="top" wrapText="1"/>
    </xf>
    <xf numFmtId="0" fontId="0" fillId="0" borderId="0" xfId="0" applyBorder="1" applyAlignment="1">
      <alignment horizontal="left" vertical="top" wrapText="1"/>
    </xf>
    <xf numFmtId="9" fontId="0" fillId="7" borderId="0" xfId="5" applyFont="1" applyFill="1"/>
    <xf numFmtId="0" fontId="0" fillId="7" borderId="0" xfId="0" applyFill="1" applyAlignment="1">
      <alignment wrapText="1"/>
    </xf>
    <xf numFmtId="0" fontId="0" fillId="0" borderId="0" xfId="0" applyAlignment="1">
      <alignment wrapText="1"/>
    </xf>
    <xf numFmtId="3" fontId="7" fillId="5" borderId="16" xfId="2" applyNumberFormat="1" applyAlignment="1">
      <alignment horizontal="right" vertical="top" wrapText="1"/>
    </xf>
    <xf numFmtId="9" fontId="8" fillId="0" borderId="0" xfId="5" applyFont="1" applyAlignment="1">
      <alignment wrapText="1"/>
    </xf>
    <xf numFmtId="164" fontId="8" fillId="0" borderId="0" xfId="4" applyFont="1" applyAlignment="1">
      <alignment wrapText="1"/>
    </xf>
    <xf numFmtId="164" fontId="0" fillId="0" borderId="0" xfId="4" applyFont="1"/>
    <xf numFmtId="0" fontId="8" fillId="7" borderId="0" xfId="0" applyFont="1" applyFill="1" applyAlignment="1">
      <alignment horizontal="center" vertical="center" wrapText="1"/>
    </xf>
    <xf numFmtId="4" fontId="7" fillId="5" borderId="52" xfId="2" applyNumberFormat="1" applyBorder="1" applyAlignment="1">
      <alignment horizontal="right" vertical="top" wrapText="1"/>
    </xf>
    <xf numFmtId="0" fontId="0" fillId="0" borderId="0" xfId="0" applyFill="1" applyAlignment="1">
      <alignment wrapText="1"/>
    </xf>
    <xf numFmtId="0" fontId="8" fillId="10" borderId="0" xfId="0" applyFont="1" applyFill="1" applyAlignment="1">
      <alignment wrapText="1"/>
    </xf>
    <xf numFmtId="4" fontId="7" fillId="5" borderId="22" xfId="2" applyNumberFormat="1" applyBorder="1" applyAlignment="1">
      <alignment horizontal="right" vertical="top" wrapText="1"/>
    </xf>
    <xf numFmtId="4" fontId="7" fillId="5" borderId="91" xfId="2" applyNumberFormat="1" applyBorder="1" applyAlignment="1">
      <alignment horizontal="right" vertical="top" wrapText="1"/>
    </xf>
    <xf numFmtId="4" fontId="7" fillId="5" borderId="38" xfId="2" applyNumberFormat="1" applyBorder="1" applyAlignment="1">
      <alignment horizontal="right" vertical="top" wrapText="1"/>
    </xf>
    <xf numFmtId="0" fontId="9" fillId="8" borderId="26" xfId="0" applyFont="1" applyFill="1" applyBorder="1" applyAlignment="1">
      <alignment horizontal="center" vertical="top" wrapText="1"/>
    </xf>
    <xf numFmtId="3" fontId="7" fillId="5" borderId="44" xfId="2" applyNumberFormat="1" applyBorder="1" applyAlignment="1">
      <alignment horizontal="right" vertical="top" wrapText="1"/>
    </xf>
    <xf numFmtId="0" fontId="9" fillId="0" borderId="0" xfId="0" applyFont="1" applyBorder="1" applyAlignment="1">
      <alignment horizontal="left" vertical="top" wrapText="1"/>
    </xf>
    <xf numFmtId="0" fontId="9" fillId="0" borderId="28" xfId="0" applyFont="1" applyBorder="1" applyAlignment="1">
      <alignment horizontal="left" vertical="top" wrapText="1"/>
    </xf>
    <xf numFmtId="4" fontId="7" fillId="5" borderId="94" xfId="2" applyNumberFormat="1" applyBorder="1" applyAlignment="1">
      <alignment horizontal="right" vertical="top" wrapText="1"/>
    </xf>
    <xf numFmtId="4" fontId="7" fillId="5" borderId="93" xfId="2" applyNumberFormat="1" applyBorder="1" applyAlignment="1">
      <alignment horizontal="right" vertical="top" wrapText="1"/>
    </xf>
    <xf numFmtId="3" fontId="7" fillId="5" borderId="14" xfId="2" applyNumberFormat="1" applyBorder="1" applyAlignment="1">
      <alignment horizontal="right" vertical="top" wrapText="1"/>
    </xf>
    <xf numFmtId="3" fontId="7" fillId="5" borderId="24" xfId="2" applyNumberFormat="1" applyBorder="1" applyAlignment="1">
      <alignment horizontal="right" vertical="top" wrapText="1"/>
    </xf>
    <xf numFmtId="3" fontId="7" fillId="5" borderId="15" xfId="2" applyNumberFormat="1" applyBorder="1" applyAlignment="1">
      <alignment horizontal="right" vertical="top" wrapText="1"/>
    </xf>
    <xf numFmtId="0" fontId="0" fillId="0" borderId="8" xfId="0" applyBorder="1" applyAlignment="1">
      <alignment horizontal="left" vertical="top" wrapText="1"/>
    </xf>
    <xf numFmtId="0" fontId="0" fillId="0" borderId="87" xfId="0" applyBorder="1" applyAlignment="1">
      <alignment horizontal="left" vertical="top" wrapText="1"/>
    </xf>
    <xf numFmtId="0" fontId="0" fillId="0" borderId="9" xfId="0" applyBorder="1" applyAlignment="1">
      <alignment horizontal="left" vertical="top" wrapText="1"/>
    </xf>
    <xf numFmtId="0" fontId="9" fillId="7" borderId="22" xfId="0" applyFont="1" applyFill="1" applyBorder="1" applyAlignment="1">
      <alignment horizontal="center" vertical="top" wrapText="1"/>
    </xf>
    <xf numFmtId="0" fontId="0" fillId="7" borderId="22" xfId="0" applyFill="1" applyBorder="1" applyAlignment="1">
      <alignment horizontal="center" vertical="top" wrapText="1"/>
    </xf>
    <xf numFmtId="3" fontId="7" fillId="5" borderId="14" xfId="2" applyNumberFormat="1" applyBorder="1" applyAlignment="1">
      <alignment vertical="top" wrapText="1"/>
    </xf>
    <xf numFmtId="3" fontId="7" fillId="5" borderId="24" xfId="2" applyNumberFormat="1" applyBorder="1" applyAlignment="1">
      <alignment vertical="top" wrapText="1"/>
    </xf>
    <xf numFmtId="3" fontId="7" fillId="5" borderId="15" xfId="2" applyNumberFormat="1" applyBorder="1" applyAlignment="1">
      <alignment vertical="top" wrapText="1"/>
    </xf>
    <xf numFmtId="0" fontId="9" fillId="11" borderId="6" xfId="0" applyFont="1" applyFill="1" applyBorder="1" applyAlignment="1">
      <alignment horizontal="left" vertical="top" wrapText="1"/>
    </xf>
    <xf numFmtId="0" fontId="9" fillId="8" borderId="30" xfId="0" applyFont="1" applyFill="1" applyBorder="1" applyAlignment="1">
      <alignment horizontal="left" vertical="top" wrapText="1"/>
    </xf>
    <xf numFmtId="0" fontId="9" fillId="12" borderId="6" xfId="0" applyFont="1" applyFill="1" applyBorder="1" applyAlignment="1">
      <alignment horizontal="left" vertical="top" wrapText="1"/>
    </xf>
    <xf numFmtId="3" fontId="7" fillId="5" borderId="76" xfId="2" applyNumberFormat="1" applyBorder="1" applyAlignment="1">
      <alignment horizontal="right" vertical="top" wrapText="1"/>
    </xf>
    <xf numFmtId="3" fontId="7" fillId="5" borderId="77" xfId="2" applyNumberFormat="1" applyBorder="1" applyAlignment="1">
      <alignment horizontal="right" vertical="top" wrapText="1"/>
    </xf>
    <xf numFmtId="3" fontId="7" fillId="5" borderId="78" xfId="2" applyNumberFormat="1" applyBorder="1" applyAlignment="1">
      <alignment horizontal="right" vertical="top" wrapText="1"/>
    </xf>
    <xf numFmtId="0" fontId="9" fillId="11" borderId="30" xfId="0" applyFont="1" applyFill="1" applyBorder="1" applyAlignment="1">
      <alignment horizontal="left" vertical="top" wrapText="1"/>
    </xf>
    <xf numFmtId="0" fontId="9" fillId="12" borderId="30" xfId="0" applyFont="1" applyFill="1" applyBorder="1" applyAlignment="1">
      <alignment horizontal="left" vertical="top" wrapText="1"/>
    </xf>
    <xf numFmtId="0" fontId="31" fillId="0" borderId="0" xfId="0" applyFont="1" applyAlignment="1">
      <alignment horizontal="center"/>
    </xf>
    <xf numFmtId="0" fontId="32" fillId="0" borderId="0" xfId="0" applyFont="1"/>
    <xf numFmtId="49" fontId="32" fillId="0" borderId="0" xfId="0" applyNumberFormat="1" applyFont="1"/>
    <xf numFmtId="3" fontId="7" fillId="5" borderId="77" xfId="2" applyNumberFormat="1" applyBorder="1"/>
    <xf numFmtId="0" fontId="30" fillId="0" borderId="0" xfId="0" applyFont="1" applyAlignment="1">
      <alignment horizontal="center"/>
    </xf>
    <xf numFmtId="0" fontId="32" fillId="0" borderId="0" xfId="0" applyFont="1" applyBorder="1" applyAlignment="1">
      <alignment horizontal="center"/>
    </xf>
    <xf numFmtId="0" fontId="31" fillId="0" borderId="0" xfId="0" applyFont="1" applyAlignment="1"/>
    <xf numFmtId="0" fontId="31" fillId="0" borderId="0" xfId="0" applyFont="1" applyAlignment="1">
      <alignment wrapText="1"/>
    </xf>
    <xf numFmtId="0" fontId="30" fillId="0" borderId="0" xfId="0" applyFont="1" applyAlignment="1"/>
    <xf numFmtId="0" fontId="31" fillId="0" borderId="0" xfId="0" applyFont="1" applyBorder="1" applyAlignment="1"/>
    <xf numFmtId="0" fontId="0" fillId="0" borderId="0" xfId="0" applyBorder="1"/>
    <xf numFmtId="0" fontId="32" fillId="0" borderId="0" xfId="0" applyFont="1" applyBorder="1" applyAlignment="1"/>
    <xf numFmtId="0" fontId="33" fillId="0" borderId="67" xfId="0" applyFont="1" applyBorder="1"/>
    <xf numFmtId="0" fontId="9" fillId="8" borderId="73" xfId="0" applyFont="1" applyFill="1" applyBorder="1" applyAlignment="1">
      <alignment horizontal="center" vertical="top" wrapText="1"/>
    </xf>
    <xf numFmtId="3" fontId="7" fillId="5" borderId="36" xfId="2" applyNumberFormat="1" applyBorder="1"/>
    <xf numFmtId="3" fontId="7" fillId="5" borderId="100" xfId="2" applyNumberFormat="1" applyBorder="1"/>
    <xf numFmtId="0" fontId="0" fillId="7" borderId="101" xfId="0" applyFill="1" applyBorder="1" applyAlignment="1">
      <alignment horizontal="center" vertical="top" wrapText="1"/>
    </xf>
    <xf numFmtId="3" fontId="7" fillId="5" borderId="89" xfId="2" applyNumberFormat="1" applyBorder="1" applyAlignment="1">
      <alignment horizontal="right"/>
    </xf>
    <xf numFmtId="3" fontId="7" fillId="5" borderId="90" xfId="2" applyNumberFormat="1" applyBorder="1" applyAlignment="1">
      <alignment horizontal="right"/>
    </xf>
    <xf numFmtId="3" fontId="7" fillId="5" borderId="73" xfId="2" applyNumberFormat="1" applyBorder="1"/>
    <xf numFmtId="3" fontId="7" fillId="5" borderId="30" xfId="2" applyNumberFormat="1" applyBorder="1"/>
    <xf numFmtId="3" fontId="7" fillId="5" borderId="102" xfId="2" applyNumberFormat="1" applyBorder="1"/>
    <xf numFmtId="0" fontId="29" fillId="0" borderId="14" xfId="0" applyFont="1" applyBorder="1" applyAlignment="1"/>
    <xf numFmtId="0" fontId="29" fillId="0" borderId="23" xfId="0" applyFont="1" applyBorder="1" applyAlignment="1"/>
    <xf numFmtId="0" fontId="31" fillId="0" borderId="24" xfId="0" applyFont="1" applyBorder="1" applyAlignment="1"/>
    <xf numFmtId="0" fontId="34" fillId="7" borderId="0" xfId="0" applyFont="1" applyFill="1" applyAlignment="1">
      <alignment horizontal="left" vertical="top" wrapText="1"/>
    </xf>
    <xf numFmtId="0" fontId="12" fillId="7" borderId="0" xfId="0" applyFont="1" applyFill="1" applyAlignment="1">
      <alignment horizontal="left" vertical="top" wrapText="1"/>
    </xf>
    <xf numFmtId="9" fontId="34" fillId="0" borderId="0" xfId="5" applyFont="1" applyAlignment="1">
      <alignment horizontal="left" vertical="top" wrapText="1"/>
    </xf>
    <xf numFmtId="9" fontId="34" fillId="0" borderId="18" xfId="0" applyNumberFormat="1" applyFont="1" applyBorder="1" applyAlignment="1">
      <alignment horizontal="left" vertical="top" wrapText="1"/>
    </xf>
    <xf numFmtId="0" fontId="34" fillId="0" borderId="0" xfId="0" applyFont="1" applyBorder="1" applyAlignment="1">
      <alignment horizontal="left" vertical="top" wrapText="1"/>
    </xf>
    <xf numFmtId="0" fontId="34" fillId="0" borderId="21" xfId="0" applyFont="1" applyBorder="1" applyAlignment="1">
      <alignment horizontal="left" vertical="top" wrapText="1"/>
    </xf>
    <xf numFmtId="0" fontId="34" fillId="0" borderId="0" xfId="0" applyFont="1" applyAlignment="1">
      <alignment horizontal="left" vertical="top" wrapText="1"/>
    </xf>
    <xf numFmtId="0" fontId="0" fillId="0" borderId="0" xfId="0" applyFill="1" applyBorder="1" applyAlignment="1">
      <alignment horizontal="left" vertical="top" wrapText="1"/>
    </xf>
    <xf numFmtId="0" fontId="8" fillId="0" borderId="0" xfId="0" applyFont="1"/>
    <xf numFmtId="0" fontId="5" fillId="3" borderId="73" xfId="0" applyFont="1" applyFill="1" applyBorder="1" applyAlignment="1">
      <alignment horizontal="left" vertical="top" wrapText="1"/>
    </xf>
    <xf numFmtId="0" fontId="5" fillId="3" borderId="73" xfId="0" applyFont="1" applyFill="1" applyBorder="1" applyAlignment="1">
      <alignment horizontal="center" vertical="top" wrapText="1"/>
    </xf>
    <xf numFmtId="0" fontId="3" fillId="6" borderId="30" xfId="3" applyFont="1" applyBorder="1" applyAlignment="1">
      <alignment vertical="top"/>
    </xf>
    <xf numFmtId="0" fontId="36" fillId="0" borderId="24" xfId="0" applyFont="1" applyBorder="1" applyAlignment="1"/>
    <xf numFmtId="0" fontId="0" fillId="0" borderId="98" xfId="0" applyFont="1" applyBorder="1" applyAlignment="1"/>
    <xf numFmtId="0" fontId="0" fillId="0" borderId="65" xfId="0" applyFont="1" applyBorder="1" applyAlignment="1"/>
    <xf numFmtId="0" fontId="0" fillId="0" borderId="99" xfId="0" applyFont="1" applyBorder="1" applyAlignment="1">
      <alignment horizontal="right"/>
    </xf>
    <xf numFmtId="0" fontId="0" fillId="0" borderId="38" xfId="0" applyFont="1" applyBorder="1" applyAlignment="1">
      <alignment horizontal="left"/>
    </xf>
    <xf numFmtId="0" fontId="0" fillId="0" borderId="39" xfId="0" applyFont="1" applyBorder="1" applyAlignment="1">
      <alignment horizontal="left"/>
    </xf>
    <xf numFmtId="0" fontId="0" fillId="0" borderId="22" xfId="0" applyFont="1" applyBorder="1"/>
    <xf numFmtId="0" fontId="0" fillId="0" borderId="22" xfId="0" applyFont="1" applyBorder="1" applyAlignment="1">
      <alignment wrapText="1"/>
    </xf>
    <xf numFmtId="0" fontId="0" fillId="0" borderId="97" xfId="0" applyFont="1" applyBorder="1"/>
    <xf numFmtId="0" fontId="38" fillId="0" borderId="0" xfId="0" applyFont="1"/>
    <xf numFmtId="0" fontId="0" fillId="7" borderId="98" xfId="0" applyFill="1" applyBorder="1" applyAlignment="1">
      <alignment horizontal="center" vertical="top" wrapText="1"/>
    </xf>
    <xf numFmtId="0" fontId="0" fillId="7" borderId="64" xfId="0" applyFill="1" applyBorder="1" applyAlignment="1">
      <alignment horizontal="center" vertical="top" wrapText="1"/>
    </xf>
    <xf numFmtId="0" fontId="0" fillId="7" borderId="65" xfId="0" applyFill="1" applyBorder="1" applyAlignment="1">
      <alignment horizontal="center" vertical="top" wrapText="1"/>
    </xf>
    <xf numFmtId="3" fontId="7" fillId="5" borderId="105" xfId="2" applyNumberFormat="1" applyBorder="1"/>
    <xf numFmtId="3" fontId="7" fillId="5" borderId="85" xfId="2" applyNumberFormat="1" applyBorder="1"/>
    <xf numFmtId="3" fontId="7" fillId="5" borderId="44" xfId="2" applyNumberFormat="1" applyBorder="1"/>
    <xf numFmtId="3" fontId="7" fillId="5" borderId="47" xfId="2" applyNumberFormat="1" applyBorder="1"/>
    <xf numFmtId="3" fontId="7" fillId="5" borderId="106" xfId="2" applyNumberFormat="1" applyBorder="1"/>
    <xf numFmtId="3" fontId="27" fillId="6" borderId="107" xfId="3" applyNumberFormat="1" applyFont="1" applyBorder="1"/>
    <xf numFmtId="3" fontId="27" fillId="6" borderId="17" xfId="3" applyNumberFormat="1" applyFont="1" applyBorder="1"/>
    <xf numFmtId="3" fontId="27" fillId="6" borderId="59" xfId="3" applyNumberFormat="1" applyFont="1" applyBorder="1"/>
    <xf numFmtId="3" fontId="27" fillId="6" borderId="108" xfId="3" applyNumberFormat="1" applyFont="1" applyBorder="1"/>
    <xf numFmtId="3" fontId="27" fillId="6" borderId="60" xfId="3" applyNumberFormat="1" applyFont="1" applyBorder="1"/>
    <xf numFmtId="3" fontId="27" fillId="6" borderId="61" xfId="3" applyNumberFormat="1" applyFont="1" applyBorder="1"/>
    <xf numFmtId="3" fontId="13" fillId="6" borderId="95" xfId="3" applyNumberFormat="1" applyFont="1" applyBorder="1" applyAlignment="1">
      <alignment vertical="top" wrapText="1"/>
    </xf>
    <xf numFmtId="3" fontId="13" fillId="6" borderId="57" xfId="3" applyNumberFormat="1" applyFont="1" applyBorder="1" applyAlignment="1">
      <alignment vertical="top" wrapText="1"/>
    </xf>
    <xf numFmtId="3" fontId="13" fillId="6" borderId="58" xfId="3" applyNumberFormat="1" applyFont="1" applyBorder="1" applyAlignment="1">
      <alignment vertical="top" wrapText="1"/>
    </xf>
    <xf numFmtId="3" fontId="13" fillId="6" borderId="42" xfId="3" applyNumberFormat="1" applyFont="1" applyBorder="1" applyAlignment="1">
      <alignment vertical="top" wrapText="1"/>
    </xf>
    <xf numFmtId="3" fontId="13" fillId="6" borderId="17" xfId="3" applyNumberFormat="1" applyFont="1" applyBorder="1" applyAlignment="1">
      <alignment vertical="top" wrapText="1"/>
    </xf>
    <xf numFmtId="3" fontId="13" fillId="6" borderId="59" xfId="3" applyNumberFormat="1" applyFont="1" applyBorder="1" applyAlignment="1">
      <alignment vertical="top" wrapText="1"/>
    </xf>
    <xf numFmtId="3" fontId="13" fillId="6" borderId="96" xfId="3" applyNumberFormat="1" applyFont="1" applyBorder="1" applyAlignment="1">
      <alignment vertical="top" wrapText="1"/>
    </xf>
    <xf numFmtId="3" fontId="13" fillId="6" borderId="60" xfId="3" applyNumberFormat="1" applyFont="1" applyBorder="1" applyAlignment="1">
      <alignment vertical="top" wrapText="1"/>
    </xf>
    <xf numFmtId="3" fontId="13" fillId="6" borderId="61" xfId="3" applyNumberFormat="1" applyFont="1" applyBorder="1" applyAlignment="1">
      <alignment vertical="top" wrapText="1"/>
    </xf>
    <xf numFmtId="3" fontId="13" fillId="6" borderId="95" xfId="3" applyNumberFormat="1" applyFont="1" applyBorder="1" applyAlignment="1">
      <alignment horizontal="right" vertical="top" wrapText="1"/>
    </xf>
    <xf numFmtId="3" fontId="13" fillId="6" borderId="57" xfId="3" applyNumberFormat="1" applyFont="1" applyBorder="1" applyAlignment="1">
      <alignment horizontal="right" vertical="top" wrapText="1"/>
    </xf>
    <xf numFmtId="3" fontId="13" fillId="6" borderId="42" xfId="3" applyNumberFormat="1" applyFont="1" applyBorder="1" applyAlignment="1">
      <alignment horizontal="right" vertical="top" wrapText="1"/>
    </xf>
    <xf numFmtId="3" fontId="13" fillId="6" borderId="17" xfId="3" applyNumberFormat="1" applyFont="1" applyBorder="1" applyAlignment="1">
      <alignment horizontal="right" vertical="top" wrapText="1"/>
    </xf>
    <xf numFmtId="3" fontId="13" fillId="6" borderId="96" xfId="3" applyNumberFormat="1" applyFont="1" applyBorder="1" applyAlignment="1">
      <alignment horizontal="right" vertical="top" wrapText="1"/>
    </xf>
    <xf numFmtId="3" fontId="13" fillId="6" borderId="60" xfId="3" applyNumberFormat="1" applyFont="1" applyBorder="1" applyAlignment="1">
      <alignment horizontal="right" vertical="top" wrapText="1"/>
    </xf>
    <xf numFmtId="3" fontId="13" fillId="6" borderId="58" xfId="3" applyNumberFormat="1" applyFont="1" applyBorder="1" applyAlignment="1">
      <alignment horizontal="right" vertical="top" wrapText="1"/>
    </xf>
    <xf numFmtId="3" fontId="13" fillId="6" borderId="59" xfId="3" applyNumberFormat="1" applyFont="1" applyBorder="1" applyAlignment="1">
      <alignment horizontal="right" vertical="top" wrapText="1"/>
    </xf>
    <xf numFmtId="3" fontId="13" fillId="6" borderId="61" xfId="3" applyNumberFormat="1" applyFont="1" applyBorder="1" applyAlignment="1">
      <alignment horizontal="right" vertical="top" wrapText="1"/>
    </xf>
    <xf numFmtId="3" fontId="7" fillId="5" borderId="109" xfId="2" applyNumberFormat="1" applyBorder="1" applyAlignment="1">
      <alignment horizontal="right" vertical="top" wrapText="1"/>
    </xf>
    <xf numFmtId="3" fontId="7" fillId="5" borderId="56" xfId="2" applyNumberFormat="1" applyBorder="1" applyAlignment="1">
      <alignment horizontal="right" vertical="top" wrapText="1"/>
    </xf>
    <xf numFmtId="3" fontId="7" fillId="5" borderId="48" xfId="2" applyNumberFormat="1" applyBorder="1" applyAlignment="1">
      <alignment vertical="top" wrapText="1"/>
    </xf>
    <xf numFmtId="3" fontId="7" fillId="5" borderId="45" xfId="2" applyNumberFormat="1" applyBorder="1" applyAlignment="1">
      <alignment vertical="top" wrapText="1"/>
    </xf>
    <xf numFmtId="3" fontId="7" fillId="5" borderId="46" xfId="2" applyNumberFormat="1" applyBorder="1" applyAlignment="1">
      <alignment vertical="top" wrapText="1"/>
    </xf>
    <xf numFmtId="3" fontId="7" fillId="5" borderId="110" xfId="2" applyNumberFormat="1" applyBorder="1" applyAlignment="1">
      <alignment vertical="top" wrapText="1"/>
    </xf>
    <xf numFmtId="3" fontId="7" fillId="5" borderId="16" xfId="2" applyNumberFormat="1" applyBorder="1" applyAlignment="1">
      <alignment vertical="top" wrapText="1"/>
    </xf>
    <xf numFmtId="3" fontId="7" fillId="5" borderId="37" xfId="2" applyNumberFormat="1" applyBorder="1" applyAlignment="1">
      <alignment vertical="top" wrapText="1"/>
    </xf>
    <xf numFmtId="3" fontId="7" fillId="5" borderId="49" xfId="2" applyNumberFormat="1" applyBorder="1" applyAlignment="1">
      <alignment vertical="top" wrapText="1"/>
    </xf>
    <xf numFmtId="9" fontId="0" fillId="0" borderId="0" xfId="0" applyNumberFormat="1"/>
    <xf numFmtId="0" fontId="13" fillId="6" borderId="107" xfId="3" applyFont="1" applyBorder="1" applyAlignment="1">
      <alignment horizontal="right" vertical="top" wrapText="1"/>
    </xf>
    <xf numFmtId="1" fontId="13" fillId="6" borderId="17" xfId="3" applyNumberFormat="1" applyFont="1" applyBorder="1" applyAlignment="1">
      <alignment horizontal="right" vertical="top" wrapText="1"/>
    </xf>
    <xf numFmtId="0" fontId="13" fillId="6" borderId="108" xfId="3" applyFont="1" applyBorder="1" applyAlignment="1">
      <alignment horizontal="right" vertical="top" wrapText="1"/>
    </xf>
    <xf numFmtId="1" fontId="13" fillId="6" borderId="60" xfId="3" applyNumberFormat="1" applyFont="1" applyBorder="1" applyAlignment="1">
      <alignment horizontal="right" vertical="top" wrapText="1"/>
    </xf>
    <xf numFmtId="165" fontId="10" fillId="6" borderId="54" xfId="3" applyNumberFormat="1" applyFont="1" applyBorder="1" applyAlignment="1">
      <alignment horizontal="right" vertical="top" wrapText="1"/>
    </xf>
    <xf numFmtId="165" fontId="10" fillId="6" borderId="17" xfId="3" applyNumberFormat="1" applyFont="1" applyBorder="1" applyAlignment="1">
      <alignment horizontal="right" vertical="top" wrapText="1"/>
    </xf>
    <xf numFmtId="165" fontId="10" fillId="6" borderId="111" xfId="3" applyNumberFormat="1" applyFont="1" applyBorder="1" applyAlignment="1">
      <alignment horizontal="right" vertical="top" wrapText="1"/>
    </xf>
    <xf numFmtId="165" fontId="10" fillId="6" borderId="60" xfId="3" applyNumberFormat="1" applyFont="1" applyBorder="1" applyAlignment="1">
      <alignment horizontal="right" vertical="top" wrapText="1"/>
    </xf>
    <xf numFmtId="3" fontId="0" fillId="0" borderId="0" xfId="0" applyNumberFormat="1"/>
    <xf numFmtId="0" fontId="13" fillId="6" borderId="17" xfId="3" applyNumberFormat="1" applyFont="1" applyBorder="1" applyAlignment="1">
      <alignment horizontal="right" vertical="top" wrapText="1"/>
    </xf>
    <xf numFmtId="0" fontId="43" fillId="0" borderId="0" xfId="0" applyFont="1" applyAlignment="1">
      <alignment horizontal="justify" vertical="top"/>
    </xf>
    <xf numFmtId="0" fontId="44" fillId="0" borderId="0" xfId="0" applyFont="1" applyAlignment="1">
      <alignment horizontal="justify" vertical="top"/>
    </xf>
    <xf numFmtId="0" fontId="41" fillId="0" borderId="0" xfId="0" applyFont="1" applyAlignment="1">
      <alignment vertical="top"/>
    </xf>
    <xf numFmtId="0" fontId="41" fillId="0" borderId="0" xfId="0" applyFont="1" applyAlignment="1">
      <alignment horizontal="justify" vertical="top"/>
    </xf>
    <xf numFmtId="0" fontId="41" fillId="0" borderId="0" xfId="0" applyFont="1" applyAlignment="1">
      <alignment horizontal="justify" vertical="center"/>
    </xf>
    <xf numFmtId="0" fontId="44" fillId="13" borderId="0" xfId="0" applyFont="1" applyFill="1" applyAlignment="1">
      <alignment horizontal="justify" vertical="top"/>
    </xf>
    <xf numFmtId="0" fontId="45" fillId="13" borderId="0" xfId="0" applyFont="1" applyFill="1" applyAlignment="1">
      <alignment horizontal="justify" vertical="top"/>
    </xf>
    <xf numFmtId="42" fontId="13" fillId="6" borderId="57" xfId="3" applyNumberFormat="1" applyFont="1" applyBorder="1" applyAlignment="1">
      <alignment horizontal="right" vertical="top" wrapText="1"/>
    </xf>
    <xf numFmtId="42" fontId="13" fillId="6" borderId="17" xfId="3" applyNumberFormat="1" applyFont="1" applyBorder="1" applyAlignment="1">
      <alignment horizontal="right" vertical="top" wrapText="1"/>
    </xf>
    <xf numFmtId="42" fontId="13" fillId="6" borderId="60" xfId="3" applyNumberFormat="1" applyFont="1" applyBorder="1" applyAlignment="1">
      <alignment horizontal="right" vertical="top" wrapText="1"/>
    </xf>
    <xf numFmtId="0" fontId="13" fillId="6" borderId="54" xfId="3" applyFont="1" applyBorder="1" applyAlignment="1">
      <alignment horizontal="right" vertical="top" wrapText="1"/>
    </xf>
    <xf numFmtId="0" fontId="13" fillId="6" borderId="108" xfId="3" applyNumberFormat="1" applyFont="1" applyBorder="1" applyAlignment="1">
      <alignment horizontal="right" vertical="top" wrapText="1"/>
    </xf>
    <xf numFmtId="0" fontId="13" fillId="6" borderId="60" xfId="3" applyNumberFormat="1" applyFont="1" applyBorder="1" applyAlignment="1">
      <alignment horizontal="right" vertical="top" wrapText="1"/>
    </xf>
    <xf numFmtId="0" fontId="0" fillId="0" borderId="0" xfId="0" applyBorder="1" applyAlignment="1">
      <alignment horizontal="left" vertical="top" wrapText="1"/>
    </xf>
    <xf numFmtId="165" fontId="49" fillId="6" borderId="17" xfId="3" applyNumberFormat="1" applyFont="1" applyBorder="1" applyAlignment="1">
      <alignment horizontal="right" vertical="top" wrapText="1"/>
    </xf>
    <xf numFmtId="165" fontId="49" fillId="6" borderId="60" xfId="3" applyNumberFormat="1" applyFont="1" applyBorder="1" applyAlignment="1">
      <alignment horizontal="right" vertical="top" wrapText="1"/>
    </xf>
    <xf numFmtId="0" fontId="48" fillId="14" borderId="57" xfId="0" applyFont="1" applyFill="1" applyBorder="1" applyAlignment="1">
      <alignment horizontal="right" vertical="top" wrapText="1"/>
    </xf>
    <xf numFmtId="0" fontId="48" fillId="14" borderId="95" xfId="0" applyFont="1" applyFill="1" applyBorder="1" applyAlignment="1">
      <alignment horizontal="right" vertical="top" wrapText="1"/>
    </xf>
    <xf numFmtId="0" fontId="48" fillId="14" borderId="54" xfId="0" applyFont="1" applyFill="1" applyBorder="1" applyAlignment="1">
      <alignment horizontal="right" vertical="top" wrapText="1"/>
    </xf>
    <xf numFmtId="0" fontId="48" fillId="14" borderId="112" xfId="0" applyFont="1" applyFill="1" applyBorder="1" applyAlignment="1">
      <alignment horizontal="right" vertical="top" wrapText="1"/>
    </xf>
    <xf numFmtId="165" fontId="49" fillId="6" borderId="54" xfId="3" applyNumberFormat="1" applyFont="1" applyBorder="1" applyAlignment="1">
      <alignment horizontal="right" vertical="top" wrapText="1"/>
    </xf>
    <xf numFmtId="0" fontId="48" fillId="14" borderId="60" xfId="0" applyFont="1" applyFill="1" applyBorder="1" applyAlignment="1">
      <alignment horizontal="right" vertical="top" wrapText="1"/>
    </xf>
    <xf numFmtId="0" fontId="48" fillId="14" borderId="96" xfId="0" applyFont="1" applyFill="1" applyBorder="1" applyAlignment="1">
      <alignment horizontal="right" vertical="top" wrapText="1"/>
    </xf>
    <xf numFmtId="0" fontId="50" fillId="0" borderId="0" xfId="0" applyFont="1"/>
    <xf numFmtId="0" fontId="51" fillId="15" borderId="8" xfId="0" applyFont="1" applyFill="1" applyBorder="1" applyAlignment="1">
      <alignment vertical="top"/>
    </xf>
    <xf numFmtId="0" fontId="51" fillId="15" borderId="23" xfId="0" applyFont="1" applyFill="1" applyBorder="1" applyAlignment="1">
      <alignment vertical="top"/>
    </xf>
    <xf numFmtId="0" fontId="51" fillId="15" borderId="14" xfId="0" applyFont="1" applyFill="1" applyBorder="1" applyAlignment="1">
      <alignment vertical="top"/>
    </xf>
    <xf numFmtId="0" fontId="51" fillId="15" borderId="13" xfId="0" applyFont="1" applyFill="1" applyBorder="1" applyAlignment="1">
      <alignment vertical="top"/>
    </xf>
    <xf numFmtId="0" fontId="51" fillId="15" borderId="14" xfId="0" applyFont="1" applyFill="1" applyBorder="1" applyAlignment="1">
      <alignment vertical="top" wrapText="1"/>
    </xf>
    <xf numFmtId="0" fontId="51" fillId="15" borderId="23" xfId="0" applyFont="1" applyFill="1" applyBorder="1" applyAlignment="1">
      <alignment vertical="top" wrapText="1"/>
    </xf>
    <xf numFmtId="0" fontId="51" fillId="15" borderId="13" xfId="0" applyFont="1" applyFill="1" applyBorder="1" applyAlignment="1">
      <alignment vertical="top" wrapText="1"/>
    </xf>
    <xf numFmtId="0" fontId="51" fillId="15" borderId="87" xfId="0" applyFont="1" applyFill="1" applyBorder="1" applyAlignment="1">
      <alignment vertical="top"/>
    </xf>
    <xf numFmtId="0" fontId="51" fillId="15" borderId="0" xfId="0" applyFont="1" applyFill="1" applyBorder="1" applyAlignment="1">
      <alignment vertical="top"/>
    </xf>
    <xf numFmtId="0" fontId="51" fillId="15" borderId="24" xfId="0" applyFont="1" applyFill="1" applyBorder="1" applyAlignment="1">
      <alignment vertical="top"/>
    </xf>
    <xf numFmtId="0" fontId="51" fillId="15" borderId="6" xfId="0" applyFont="1" applyFill="1" applyBorder="1" applyAlignment="1">
      <alignment vertical="top"/>
    </xf>
    <xf numFmtId="0" fontId="51" fillId="15" borderId="24" xfId="0" applyFont="1" applyFill="1" applyBorder="1" applyAlignment="1">
      <alignment vertical="top" wrapText="1"/>
    </xf>
    <xf numFmtId="0" fontId="51" fillId="15" borderId="0" xfId="0" applyFont="1" applyFill="1" applyBorder="1" applyAlignment="1">
      <alignment vertical="top" wrapText="1"/>
    </xf>
    <xf numFmtId="0" fontId="51" fillId="15" borderId="6" xfId="0" applyFont="1" applyFill="1" applyBorder="1" applyAlignment="1">
      <alignment vertical="top" wrapText="1"/>
    </xf>
    <xf numFmtId="0" fontId="52" fillId="0" borderId="87" xfId="0" applyFont="1" applyBorder="1"/>
    <xf numFmtId="0" fontId="50" fillId="0" borderId="0" xfId="0" applyFont="1" applyBorder="1"/>
    <xf numFmtId="0" fontId="50" fillId="0" borderId="24" xfId="0" applyFont="1" applyBorder="1"/>
    <xf numFmtId="0" fontId="50" fillId="0" borderId="6" xfId="0" applyFont="1" applyBorder="1"/>
    <xf numFmtId="0" fontId="50" fillId="0" borderId="24" xfId="0" applyFont="1" applyBorder="1" applyAlignment="1">
      <alignment horizontal="left"/>
    </xf>
    <xf numFmtId="0" fontId="50" fillId="0" borderId="0" xfId="0" applyFont="1" applyBorder="1" applyAlignment="1">
      <alignment horizontal="left"/>
    </xf>
    <xf numFmtId="0" fontId="50" fillId="16" borderId="6" xfId="0" applyFont="1" applyFill="1" applyBorder="1" applyAlignment="1">
      <alignment horizontal="left"/>
    </xf>
    <xf numFmtId="0" fontId="53" fillId="10" borderId="87" xfId="0" applyFont="1" applyFill="1" applyBorder="1" applyAlignment="1">
      <alignment vertical="top"/>
    </xf>
    <xf numFmtId="0" fontId="50" fillId="10" borderId="24" xfId="0" applyFont="1" applyFill="1" applyBorder="1"/>
    <xf numFmtId="0" fontId="50" fillId="10" borderId="0" xfId="0" applyFont="1" applyFill="1" applyBorder="1"/>
    <xf numFmtId="0" fontId="50" fillId="0" borderId="0" xfId="0" applyFont="1" applyFill="1" applyBorder="1"/>
    <xf numFmtId="0" fontId="53" fillId="17" borderId="87" xfId="0" applyFont="1" applyFill="1" applyBorder="1" applyAlignment="1">
      <alignment vertical="top"/>
    </xf>
    <xf numFmtId="0" fontId="50" fillId="17" borderId="0" xfId="0" applyFont="1" applyFill="1" applyBorder="1"/>
    <xf numFmtId="0" fontId="53" fillId="12" borderId="87" xfId="0" applyFont="1" applyFill="1" applyBorder="1" applyAlignment="1">
      <alignment vertical="top"/>
    </xf>
    <xf numFmtId="0" fontId="50" fillId="12" borderId="0" xfId="0" applyFont="1" applyFill="1" applyBorder="1"/>
    <xf numFmtId="0" fontId="50" fillId="12" borderId="6" xfId="0" applyFont="1" applyFill="1" applyBorder="1"/>
    <xf numFmtId="0" fontId="53" fillId="18" borderId="87" xfId="0" applyFont="1" applyFill="1" applyBorder="1" applyAlignment="1">
      <alignment vertical="top"/>
    </xf>
    <xf numFmtId="0" fontId="50" fillId="18" borderId="0" xfId="0" applyFont="1" applyFill="1" applyBorder="1"/>
    <xf numFmtId="0" fontId="50" fillId="18" borderId="6" xfId="0" applyFont="1" applyFill="1" applyBorder="1"/>
    <xf numFmtId="0" fontId="50" fillId="19" borderId="0" xfId="0" applyFont="1" applyFill="1" applyBorder="1"/>
    <xf numFmtId="0" fontId="50" fillId="17" borderId="6" xfId="0" applyFont="1" applyFill="1" applyBorder="1"/>
    <xf numFmtId="0" fontId="53" fillId="0" borderId="87" xfId="0" applyFont="1" applyBorder="1"/>
    <xf numFmtId="0" fontId="50" fillId="19" borderId="6" xfId="0" applyFont="1" applyFill="1" applyBorder="1"/>
    <xf numFmtId="0" fontId="50" fillId="21" borderId="24" xfId="0" applyFont="1" applyFill="1" applyBorder="1"/>
    <xf numFmtId="0" fontId="50" fillId="21" borderId="0" xfId="0" applyFont="1" applyFill="1" applyBorder="1"/>
    <xf numFmtId="0" fontId="50" fillId="21" borderId="6" xfId="0" applyFont="1" applyFill="1" applyBorder="1"/>
    <xf numFmtId="0" fontId="50" fillId="22" borderId="0" xfId="0" applyFont="1" applyFill="1" applyBorder="1"/>
    <xf numFmtId="0" fontId="52" fillId="0" borderId="9" xfId="0" applyFont="1" applyBorder="1"/>
    <xf numFmtId="0" fontId="50" fillId="0" borderId="26" xfId="0" applyFont="1" applyBorder="1"/>
    <xf numFmtId="0" fontId="50" fillId="11" borderId="15" xfId="0" applyFont="1" applyFill="1" applyBorder="1"/>
    <xf numFmtId="0" fontId="50" fillId="11" borderId="26" xfId="0" applyFont="1" applyFill="1" applyBorder="1"/>
    <xf numFmtId="0" fontId="50" fillId="11" borderId="5" xfId="0" applyFont="1" applyFill="1" applyBorder="1"/>
    <xf numFmtId="0" fontId="50" fillId="0" borderId="15" xfId="0" applyFont="1" applyBorder="1" applyAlignment="1">
      <alignment horizontal="left"/>
    </xf>
    <xf numFmtId="0" fontId="50" fillId="0" borderId="26" xfId="0" applyFont="1" applyBorder="1" applyAlignment="1">
      <alignment horizontal="left"/>
    </xf>
    <xf numFmtId="0" fontId="54" fillId="23" borderId="28" xfId="0" applyFont="1" applyFill="1" applyBorder="1"/>
    <xf numFmtId="0" fontId="54" fillId="23" borderId="29" xfId="0" applyFont="1" applyFill="1" applyBorder="1"/>
    <xf numFmtId="1" fontId="54" fillId="23" borderId="30" xfId="0" applyNumberFormat="1" applyFont="1" applyFill="1" applyBorder="1" applyAlignment="1">
      <alignment horizontal="left"/>
    </xf>
    <xf numFmtId="0" fontId="52" fillId="0" borderId="87" xfId="0" applyFont="1" applyBorder="1" applyAlignment="1">
      <alignment wrapText="1"/>
    </xf>
    <xf numFmtId="0" fontId="56" fillId="0" borderId="0" xfId="0" applyFont="1" applyBorder="1"/>
    <xf numFmtId="0" fontId="50" fillId="16" borderId="0" xfId="0" applyFont="1" applyFill="1" applyBorder="1" applyAlignment="1">
      <alignment horizontal="left"/>
    </xf>
    <xf numFmtId="0" fontId="50" fillId="16" borderId="26" xfId="0" applyFont="1" applyFill="1" applyBorder="1" applyAlignment="1">
      <alignment horizontal="left"/>
    </xf>
    <xf numFmtId="0" fontId="0" fillId="16" borderId="0" xfId="0" applyFill="1"/>
    <xf numFmtId="0" fontId="50" fillId="10" borderId="0" xfId="0" applyFont="1" applyFill="1" applyBorder="1" applyAlignment="1">
      <alignment horizontal="left"/>
    </xf>
    <xf numFmtId="0" fontId="0" fillId="10" borderId="0" xfId="0" applyFill="1"/>
    <xf numFmtId="0" fontId="50" fillId="10" borderId="26" xfId="0" applyFont="1" applyFill="1" applyBorder="1" applyAlignment="1">
      <alignment horizontal="left"/>
    </xf>
    <xf numFmtId="0" fontId="50" fillId="12" borderId="0" xfId="0" applyFont="1" applyFill="1" applyBorder="1" applyAlignment="1">
      <alignment horizontal="left"/>
    </xf>
    <xf numFmtId="0" fontId="50" fillId="12" borderId="26" xfId="0" applyFont="1" applyFill="1" applyBorder="1" applyAlignment="1">
      <alignment horizontal="left"/>
    </xf>
    <xf numFmtId="1" fontId="54" fillId="24" borderId="30" xfId="0" applyNumberFormat="1" applyFont="1" applyFill="1" applyBorder="1" applyAlignment="1">
      <alignment horizontal="left"/>
    </xf>
    <xf numFmtId="0" fontId="42" fillId="25" borderId="0" xfId="0" applyFont="1" applyFill="1"/>
    <xf numFmtId="0" fontId="0" fillId="0" borderId="113" xfId="0" applyBorder="1"/>
    <xf numFmtId="0" fontId="0" fillId="18" borderId="113" xfId="0" applyFill="1" applyBorder="1"/>
    <xf numFmtId="0" fontId="42" fillId="20" borderId="113" xfId="0" applyFont="1" applyFill="1" applyBorder="1"/>
    <xf numFmtId="9" fontId="0" fillId="20" borderId="0" xfId="5" applyFont="1" applyFill="1"/>
    <xf numFmtId="0" fontId="42" fillId="25" borderId="113" xfId="0" applyFont="1" applyFill="1" applyBorder="1"/>
    <xf numFmtId="166" fontId="0" fillId="0" borderId="113" xfId="0" applyNumberFormat="1" applyBorder="1"/>
    <xf numFmtId="9" fontId="0" fillId="0" borderId="113" xfId="0" applyNumberFormat="1" applyBorder="1"/>
    <xf numFmtId="166" fontId="0" fillId="18" borderId="113" xfId="0" applyNumberFormat="1" applyFill="1" applyBorder="1"/>
    <xf numFmtId="167" fontId="0" fillId="0" borderId="0" xfId="0" applyNumberFormat="1"/>
    <xf numFmtId="9" fontId="0" fillId="0" borderId="113" xfId="5" applyFont="1" applyBorder="1"/>
    <xf numFmtId="0" fontId="55" fillId="25" borderId="0" xfId="0" applyFont="1" applyFill="1"/>
    <xf numFmtId="166" fontId="8" fillId="0" borderId="113" xfId="0" applyNumberFormat="1" applyFont="1" applyBorder="1"/>
    <xf numFmtId="166" fontId="8" fillId="18" borderId="113" xfId="0" applyNumberFormat="1" applyFont="1" applyFill="1" applyBorder="1"/>
    <xf numFmtId="0" fontId="0" fillId="18" borderId="0" xfId="0" applyFill="1"/>
    <xf numFmtId="0" fontId="0" fillId="0" borderId="113" xfId="0" applyFill="1" applyBorder="1"/>
    <xf numFmtId="166" fontId="0" fillId="0" borderId="113" xfId="0" applyNumberFormat="1" applyFill="1" applyBorder="1"/>
    <xf numFmtId="166" fontId="8" fillId="0" borderId="113" xfId="0" applyNumberFormat="1" applyFont="1" applyFill="1" applyBorder="1"/>
    <xf numFmtId="0" fontId="0" fillId="0" borderId="0" xfId="0" applyFill="1"/>
    <xf numFmtId="0" fontId="0" fillId="0" borderId="0" xfId="0" applyBorder="1" applyAlignment="1">
      <alignment horizontal="left" vertical="top" wrapText="1"/>
    </xf>
    <xf numFmtId="0" fontId="48" fillId="14" borderId="114" xfId="0" applyFont="1" applyFill="1" applyBorder="1" applyAlignment="1">
      <alignment horizontal="right" vertical="top" wrapText="1"/>
    </xf>
    <xf numFmtId="0" fontId="48" fillId="14" borderId="115" xfId="0" applyFont="1" applyFill="1" applyBorder="1" applyAlignment="1">
      <alignment horizontal="right" vertical="top" wrapText="1"/>
    </xf>
    <xf numFmtId="0" fontId="13" fillId="6" borderId="96" xfId="3" applyFont="1" applyBorder="1" applyAlignment="1">
      <alignment horizontal="right" vertical="top" wrapText="1"/>
    </xf>
    <xf numFmtId="0" fontId="13" fillId="6" borderId="116" xfId="3" applyFont="1" applyBorder="1" applyAlignment="1">
      <alignment horizontal="right" vertical="top" wrapText="1"/>
    </xf>
    <xf numFmtId="0" fontId="16" fillId="9" borderId="66" xfId="0" applyFont="1" applyFill="1" applyBorder="1" applyAlignment="1">
      <alignment horizontal="right" vertical="center" wrapText="1"/>
    </xf>
    <xf numFmtId="0" fontId="16" fillId="9" borderId="34" xfId="0" applyFont="1" applyFill="1" applyBorder="1" applyAlignment="1">
      <alignment horizontal="right" vertical="center" wrapText="1"/>
    </xf>
    <xf numFmtId="0" fontId="16" fillId="0" borderId="22"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5" fillId="0" borderId="0" xfId="0" applyFont="1" applyBorder="1" applyAlignment="1">
      <alignment horizontal="center" wrapText="1"/>
    </xf>
    <xf numFmtId="0" fontId="25" fillId="0" borderId="0" xfId="0" applyFont="1" applyAlignment="1">
      <alignment horizontal="center" wrapText="1"/>
    </xf>
    <xf numFmtId="0" fontId="16" fillId="9" borderId="62" xfId="0" applyFont="1" applyFill="1" applyBorder="1" applyAlignment="1">
      <alignment horizontal="right" vertical="center" wrapText="1"/>
    </xf>
    <xf numFmtId="0" fontId="16" fillId="9" borderId="63" xfId="0" applyFont="1" applyFill="1" applyBorder="1" applyAlignment="1">
      <alignment horizontal="right" vertical="center" wrapText="1"/>
    </xf>
    <xf numFmtId="0" fontId="3" fillId="0" borderId="64"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65"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0" xfId="0" applyFont="1" applyBorder="1" applyAlignment="1">
      <alignment horizontal="center" vertical="center" wrapText="1"/>
    </xf>
    <xf numFmtId="0" fontId="21" fillId="6" borderId="57" xfId="3" applyFont="1" applyBorder="1" applyAlignment="1">
      <alignment horizontal="center" vertical="center" wrapText="1"/>
    </xf>
    <xf numFmtId="0" fontId="21" fillId="6" borderId="60" xfId="3" applyFont="1" applyBorder="1" applyAlignment="1">
      <alignment horizontal="center" vertical="center" wrapText="1"/>
    </xf>
    <xf numFmtId="0" fontId="23" fillId="4" borderId="71" xfId="1" applyFont="1" applyBorder="1" applyAlignment="1">
      <alignment horizontal="center" vertical="center" wrapText="1"/>
    </xf>
    <xf numFmtId="0" fontId="23" fillId="4" borderId="72" xfId="1" applyFont="1" applyBorder="1" applyAlignment="1">
      <alignment horizontal="center" vertical="center" wrapText="1"/>
    </xf>
    <xf numFmtId="0" fontId="24" fillId="0" borderId="0" xfId="0" applyFont="1" applyBorder="1" applyAlignment="1">
      <alignment horizontal="center"/>
    </xf>
    <xf numFmtId="0" fontId="18" fillId="0" borderId="22" xfId="0" applyFont="1" applyBorder="1" applyAlignment="1">
      <alignment horizontal="left" vertical="center" wrapText="1"/>
    </xf>
    <xf numFmtId="0" fontId="18" fillId="0" borderId="38" xfId="0" applyFont="1" applyBorder="1" applyAlignment="1">
      <alignment horizontal="left" vertical="center" wrapText="1"/>
    </xf>
    <xf numFmtId="0" fontId="16" fillId="9" borderId="67" xfId="0" applyFont="1" applyFill="1" applyBorder="1" applyAlignment="1">
      <alignment horizontal="right" vertical="center" wrapText="1"/>
    </xf>
    <xf numFmtId="0" fontId="16" fillId="9" borderId="68" xfId="0" applyFont="1" applyFill="1" applyBorder="1" applyAlignment="1">
      <alignment horizontal="right" vertical="center" wrapText="1"/>
    </xf>
    <xf numFmtId="0" fontId="18" fillId="0" borderId="69" xfId="0" applyFont="1" applyBorder="1" applyAlignment="1">
      <alignment horizontal="left" vertical="center"/>
    </xf>
    <xf numFmtId="0" fontId="18" fillId="0" borderId="70" xfId="0" applyFont="1" applyBorder="1" applyAlignment="1">
      <alignment horizontal="left" vertical="center"/>
    </xf>
    <xf numFmtId="0" fontId="19" fillId="0" borderId="0" xfId="0" applyFont="1" applyBorder="1" applyAlignment="1">
      <alignment horizontal="center"/>
    </xf>
    <xf numFmtId="0" fontId="20" fillId="9" borderId="14"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0" borderId="26" xfId="0" applyFont="1" applyBorder="1" applyAlignment="1">
      <alignment horizontal="center" vertical="center" wrapText="1"/>
    </xf>
    <xf numFmtId="0" fontId="22" fillId="5" borderId="56" xfId="2" applyFont="1" applyBorder="1" applyAlignment="1">
      <alignment horizontal="center" vertical="center" wrapText="1"/>
    </xf>
    <xf numFmtId="0" fontId="22" fillId="5" borderId="45" xfId="2" applyFont="1" applyBorder="1" applyAlignment="1">
      <alignment horizontal="center" vertical="center" wrapText="1"/>
    </xf>
    <xf numFmtId="0" fontId="39" fillId="0" borderId="22" xfId="6" applyFill="1" applyBorder="1" applyAlignment="1">
      <alignment horizontal="center" vertical="center" wrapText="1"/>
    </xf>
    <xf numFmtId="0" fontId="0" fillId="7" borderId="25" xfId="0" applyFill="1" applyBorder="1" applyAlignment="1">
      <alignment horizontal="center" vertical="top" wrapText="1"/>
    </xf>
    <xf numFmtId="0" fontId="0" fillId="7" borderId="5" xfId="0" applyFill="1" applyBorder="1" applyAlignment="1">
      <alignment horizontal="center" vertical="top" wrapText="1"/>
    </xf>
    <xf numFmtId="0" fontId="9" fillId="7" borderId="28" xfId="0" applyFont="1" applyFill="1" applyBorder="1" applyAlignment="1">
      <alignment horizontal="center" vertical="top" wrapText="1"/>
    </xf>
    <xf numFmtId="0" fontId="9" fillId="7" borderId="29" xfId="0" applyFont="1" applyFill="1" applyBorder="1" applyAlignment="1">
      <alignment horizontal="center" vertical="top" wrapText="1"/>
    </xf>
    <xf numFmtId="0" fontId="9" fillId="7" borderId="30"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7" borderId="23" xfId="0" applyFont="1" applyFill="1" applyBorder="1" applyAlignment="1">
      <alignment horizontal="center" vertical="top" wrapText="1"/>
    </xf>
    <xf numFmtId="0" fontId="9" fillId="7" borderId="13" xfId="0" applyFont="1" applyFill="1" applyBorder="1" applyAlignment="1">
      <alignment horizontal="center" vertical="top" wrapText="1"/>
    </xf>
    <xf numFmtId="0" fontId="0" fillId="7" borderId="31" xfId="0" applyFill="1" applyBorder="1" applyAlignment="1">
      <alignment horizontal="center" vertical="top" wrapText="1"/>
    </xf>
    <xf numFmtId="0" fontId="0" fillId="7" borderId="13" xfId="0" applyFill="1" applyBorder="1" applyAlignment="1">
      <alignment horizontal="center" vertical="top" wrapText="1"/>
    </xf>
    <xf numFmtId="0" fontId="9" fillId="7" borderId="24"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20" xfId="0" applyFont="1" applyFill="1" applyBorder="1" applyAlignment="1">
      <alignment horizontal="center" vertical="top" wrapText="1"/>
    </xf>
    <xf numFmtId="0" fontId="9" fillId="7" borderId="19" xfId="0" applyFont="1" applyFill="1" applyBorder="1" applyAlignment="1">
      <alignment horizontal="center" vertical="top" wrapText="1"/>
    </xf>
    <xf numFmtId="0" fontId="9" fillId="7" borderId="6" xfId="0" applyFont="1" applyFill="1" applyBorder="1" applyAlignment="1">
      <alignment horizontal="center" vertical="top" wrapText="1"/>
    </xf>
    <xf numFmtId="0" fontId="26" fillId="7" borderId="92" xfId="0" applyFont="1" applyFill="1" applyBorder="1" applyAlignment="1">
      <alignment horizontal="center" vertical="top" wrapText="1"/>
    </xf>
    <xf numFmtId="0" fontId="26" fillId="7" borderId="23" xfId="0" applyFont="1" applyFill="1" applyBorder="1" applyAlignment="1">
      <alignment horizontal="center" vertical="top" wrapText="1"/>
    </xf>
    <xf numFmtId="0" fontId="26" fillId="7" borderId="35" xfId="0" applyFont="1" applyFill="1" applyBorder="1" applyAlignment="1">
      <alignment horizontal="center" vertical="top" wrapText="1"/>
    </xf>
    <xf numFmtId="0" fontId="9" fillId="7" borderId="18" xfId="0" applyFont="1" applyFill="1" applyBorder="1" applyAlignment="1">
      <alignment horizontal="center" vertical="top" wrapText="1"/>
    </xf>
    <xf numFmtId="0" fontId="9" fillId="7" borderId="33" xfId="0" applyFont="1" applyFill="1" applyBorder="1" applyAlignment="1">
      <alignment horizontal="center" vertical="top" wrapText="1"/>
    </xf>
    <xf numFmtId="0" fontId="0" fillId="7" borderId="19" xfId="0" applyFill="1" applyBorder="1" applyAlignment="1">
      <alignment horizontal="center" vertical="top" wrapText="1"/>
    </xf>
    <xf numFmtId="0" fontId="0" fillId="7" borderId="20" xfId="0"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32" fillId="0" borderId="0" xfId="0" applyFont="1" applyBorder="1" applyAlignment="1">
      <alignment horizontal="center"/>
    </xf>
    <xf numFmtId="0" fontId="37"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9" fillId="0" borderId="26" xfId="0" applyFont="1" applyBorder="1" applyAlignment="1">
      <alignment horizontal="left"/>
    </xf>
    <xf numFmtId="0" fontId="29" fillId="0" borderId="27" xfId="0" applyFont="1" applyBorder="1" applyAlignment="1">
      <alignment horizontal="left"/>
    </xf>
    <xf numFmtId="0" fontId="28" fillId="12" borderId="28" xfId="0" applyFont="1" applyFill="1" applyBorder="1" applyAlignment="1">
      <alignment horizontal="left"/>
    </xf>
    <xf numFmtId="0" fontId="28" fillId="12" borderId="29" xfId="0" applyFont="1" applyFill="1" applyBorder="1" applyAlignment="1">
      <alignment horizontal="left"/>
    </xf>
    <xf numFmtId="0" fontId="28" fillId="11" borderId="28" xfId="0" applyFont="1" applyFill="1" applyBorder="1" applyAlignment="1">
      <alignment horizontal="left"/>
    </xf>
    <xf numFmtId="0" fontId="28" fillId="11" borderId="29" xfId="0" applyFont="1" applyFill="1" applyBorder="1" applyAlignment="1">
      <alignment horizontal="left"/>
    </xf>
    <xf numFmtId="0" fontId="28" fillId="11" borderId="0" xfId="0" applyFont="1" applyFill="1" applyAlignment="1">
      <alignment horizontal="left"/>
    </xf>
    <xf numFmtId="0" fontId="28" fillId="12" borderId="0" xfId="0" applyFont="1" applyFill="1" applyAlignment="1">
      <alignment horizontal="left"/>
    </xf>
    <xf numFmtId="0" fontId="5" fillId="0" borderId="7" xfId="0" applyFont="1" applyBorder="1" applyAlignment="1">
      <alignment horizontal="left" vertical="top" wrapText="1"/>
    </xf>
    <xf numFmtId="0" fontId="5" fillId="0" borderId="4" xfId="0" applyFont="1" applyBorder="1" applyAlignment="1">
      <alignment horizontal="left" vertical="top" wrapText="1"/>
    </xf>
    <xf numFmtId="2" fontId="6" fillId="4" borderId="8" xfId="1" applyNumberFormat="1" applyBorder="1" applyAlignment="1">
      <alignment horizontal="right" vertical="top" wrapText="1"/>
    </xf>
    <xf numFmtId="2" fontId="6" fillId="4" borderId="9" xfId="1" applyNumberFormat="1" applyBorder="1" applyAlignment="1">
      <alignment horizontal="right" vertical="top" wrapText="1"/>
    </xf>
    <xf numFmtId="0" fontId="5" fillId="3" borderId="7" xfId="0" applyFont="1" applyFill="1" applyBorder="1" applyAlignment="1">
      <alignment horizontal="left" vertical="top" wrapText="1"/>
    </xf>
    <xf numFmtId="0" fontId="5" fillId="3" borderId="4" xfId="0" applyFont="1" applyFill="1" applyBorder="1" applyAlignment="1">
      <alignment horizontal="left" vertical="top" wrapText="1"/>
    </xf>
    <xf numFmtId="2" fontId="6" fillId="4" borderId="8" xfId="1" applyNumberFormat="1" applyBorder="1" applyAlignment="1">
      <alignment vertical="top" wrapText="1"/>
    </xf>
    <xf numFmtId="2" fontId="6" fillId="4" borderId="9" xfId="1" applyNumberFormat="1" applyBorder="1" applyAlignment="1">
      <alignmen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2" fontId="3" fillId="6" borderId="103" xfId="3" applyNumberFormat="1" applyFont="1" applyBorder="1" applyAlignment="1">
      <alignment horizontal="right" vertical="top" wrapText="1"/>
    </xf>
    <xf numFmtId="2" fontId="3" fillId="6" borderId="104" xfId="3" applyNumberFormat="1" applyFont="1" applyBorder="1" applyAlignment="1">
      <alignment horizontal="righ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0" fillId="0" borderId="13" xfId="0" applyBorder="1" applyAlignment="1">
      <alignment horizontal="center" vertical="top"/>
    </xf>
    <xf numFmtId="0" fontId="0" fillId="0" borderId="5" xfId="0" applyBorder="1" applyAlignment="1">
      <alignment horizontal="center" vertical="top"/>
    </xf>
    <xf numFmtId="0" fontId="5" fillId="3" borderId="8" xfId="0" applyFont="1" applyFill="1" applyBorder="1" applyAlignment="1">
      <alignment horizontal="center" vertical="top" wrapText="1"/>
    </xf>
    <xf numFmtId="0" fontId="5" fillId="3" borderId="9" xfId="0" applyFont="1" applyFill="1" applyBorder="1" applyAlignment="1">
      <alignment horizontal="center" vertical="top" wrapText="1"/>
    </xf>
    <xf numFmtId="0" fontId="1" fillId="0" borderId="8" xfId="0" applyFont="1" applyBorder="1" applyAlignment="1">
      <alignment horizontal="center" vertical="top"/>
    </xf>
    <xf numFmtId="0" fontId="1" fillId="0" borderId="87" xfId="0" applyFont="1" applyBorder="1" applyAlignment="1">
      <alignment horizontal="center" vertical="top"/>
    </xf>
    <xf numFmtId="0" fontId="5" fillId="0" borderId="8" xfId="0" applyFont="1" applyBorder="1" applyAlignment="1">
      <alignment horizontal="left" vertical="top" wrapText="1"/>
    </xf>
    <xf numFmtId="0" fontId="5" fillId="0" borderId="87" xfId="0" applyFont="1" applyBorder="1" applyAlignment="1">
      <alignment horizontal="left" vertical="top" wrapText="1"/>
    </xf>
    <xf numFmtId="0" fontId="1" fillId="0" borderId="87" xfId="0" applyFont="1" applyBorder="1" applyAlignment="1">
      <alignmen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cellXfs>
  <cellStyles count="16">
    <cellStyle name="Comma 2" xfId="8"/>
    <cellStyle name="Dobrá" xfId="1" builtinId="26"/>
    <cellStyle name="Hypertextové prepojenie" xfId="6" builtinId="8"/>
    <cellStyle name="Mena" xfId="4" builtinId="4"/>
    <cellStyle name="Normal 2" xfId="7"/>
    <cellStyle name="Normálna" xfId="0" builtinId="0"/>
    <cellStyle name="Percentá" xfId="5" builtinId="5"/>
    <cellStyle name="Použité hypertextové prepojenie" xfId="9" builtinId="9" hidden="1"/>
    <cellStyle name="Použité hypertextové prepojenie" xfId="10" builtinId="9" hidden="1"/>
    <cellStyle name="Použité hypertextové prepojenie" xfId="11" builtinId="9" hidden="1"/>
    <cellStyle name="Použité hypertextové prepojenie" xfId="12" builtinId="9" hidden="1"/>
    <cellStyle name="Použité hypertextové prepojenie" xfId="13" builtinId="9" hidden="1"/>
    <cellStyle name="Použité hypertextové prepojenie" xfId="14" builtinId="9" hidden="1"/>
    <cellStyle name="Použité hypertextové prepojenie" xfId="15" builtinId="9" hidden="1"/>
    <cellStyle name="Poznámka" xfId="3" builtinId="10"/>
    <cellStyle name="Výpočet" xfId="2" builtinId="22"/>
  </cellStyles>
  <dxfs count="6">
    <dxf>
      <font>
        <b val="0"/>
        <i val="0"/>
        <strike val="0"/>
        <condense val="0"/>
        <extend val="0"/>
        <outline val="0"/>
        <shadow val="0"/>
        <u val="none"/>
        <vertAlign val="baseline"/>
        <sz val="9"/>
        <color theme="1"/>
        <name val="Symbol"/>
        <scheme val="none"/>
      </font>
      <alignment horizontal="justify" vertical="top" textRotation="0" wrapText="0" indent="0" justifyLastLine="0" shrinkToFit="0" readingOrder="0"/>
    </dxf>
    <dxf>
      <font>
        <b val="0"/>
        <i val="0"/>
        <strike val="0"/>
        <condense val="0"/>
        <extend val="0"/>
        <outline val="0"/>
        <shadow val="0"/>
        <u val="none"/>
        <vertAlign val="baseline"/>
        <sz val="9"/>
        <color theme="1"/>
        <name val="Symbol"/>
        <scheme val="none"/>
      </font>
      <alignment horizontal="justify" vertical="top" textRotation="0" wrapText="0" indent="0" justifyLastLine="0" shrinkToFit="0" readingOrder="0"/>
    </dxf>
    <dxf>
      <font>
        <b val="0"/>
        <i val="0"/>
        <strike val="0"/>
        <condense val="0"/>
        <extend val="0"/>
        <outline val="0"/>
        <shadow val="0"/>
        <u val="none"/>
        <vertAlign val="baseline"/>
        <sz val="9"/>
        <color theme="1"/>
        <name val="Symbol"/>
        <scheme val="none"/>
      </font>
      <alignment horizontal="justify" vertical="top" textRotation="0" wrapText="0" indent="0" justifyLastLine="0" shrinkToFit="0" readingOrder="0"/>
    </dxf>
    <dxf>
      <font>
        <b val="0"/>
        <i val="0"/>
        <strike val="0"/>
        <condense val="0"/>
        <extend val="0"/>
        <outline val="0"/>
        <shadow val="0"/>
        <u val="none"/>
        <vertAlign val="baseline"/>
        <sz val="9"/>
        <color theme="1"/>
        <name val="Symbol"/>
        <scheme val="none"/>
      </font>
      <alignment horizontal="justify" vertical="top" textRotation="0" wrapText="0" indent="0" justifyLastLine="0" shrinkToFit="0" readingOrder="0"/>
    </dxf>
    <dxf>
      <font>
        <b val="0"/>
        <i val="0"/>
        <strike val="0"/>
        <condense val="0"/>
        <extend val="0"/>
        <outline val="0"/>
        <shadow val="0"/>
        <u val="none"/>
        <vertAlign val="baseline"/>
        <sz val="10"/>
        <color theme="1"/>
        <name val="Roboto Lt"/>
        <scheme val="none"/>
      </font>
      <alignment horizontal="justify" vertical="top" textRotation="0" wrapText="0" indent="0" justifyLastLine="0" shrinkToFit="0" readingOrder="0"/>
    </dxf>
    <dxf>
      <font>
        <b/>
        <i val="0"/>
        <condense val="0"/>
        <extend val="0"/>
        <color indexed="10"/>
      </font>
    </dxf>
  </dxfs>
  <tableStyles count="0" defaultTableStyle="TableStyleMedium2" defaultPivotStyle="PivotStyleLight16"/>
  <colors>
    <mruColors>
      <color rgb="FF000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2" name="Table2" displayName="Table2" ref="A1:C16" totalsRowShown="0" headerRowDxfId="4" dataDxfId="3">
  <autoFilter ref="A1:C16">
    <filterColumn colId="0" hiddenButton="1"/>
    <filterColumn colId="1" hiddenButton="1"/>
    <filterColumn colId="2" hiddenButton="1"/>
  </autoFilter>
  <tableColumns count="3">
    <tableColumn id="1" name="Prínosy implementácie inteligentných regulácií" dataDxfId="2"/>
    <tableColumn id="2" name="Súčasná hodnota" dataDxfId="1"/>
    <tableColumn id="3" name="Cieľová hodnot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icepremier.gov.sk/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view="pageLayout" workbookViewId="0"/>
  </sheetViews>
  <sheetFormatPr defaultColWidth="8.855468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9">
      <c r="A1" s="85"/>
      <c r="B1" s="85"/>
      <c r="C1" s="85"/>
      <c r="D1" s="85"/>
      <c r="E1" s="85"/>
      <c r="F1" s="85"/>
      <c r="G1" s="85"/>
      <c r="H1" s="85"/>
      <c r="I1" s="85"/>
    </row>
    <row r="2" spans="1:9">
      <c r="A2" s="85"/>
      <c r="B2" s="85"/>
      <c r="C2" s="85"/>
      <c r="D2" s="85"/>
      <c r="E2" s="85"/>
      <c r="F2" s="85"/>
      <c r="G2" s="85"/>
      <c r="H2" s="85"/>
      <c r="I2" s="85"/>
    </row>
    <row r="3" spans="1:9">
      <c r="A3" s="85"/>
      <c r="B3" s="85"/>
      <c r="C3" s="85"/>
      <c r="D3" s="85"/>
      <c r="E3" s="85"/>
      <c r="F3" s="85"/>
      <c r="G3" s="85"/>
      <c r="H3" s="85"/>
      <c r="I3" s="85"/>
    </row>
    <row r="4" spans="1:9">
      <c r="A4" s="85"/>
      <c r="B4" s="85"/>
      <c r="C4" s="85"/>
      <c r="D4" s="85"/>
      <c r="E4" s="85"/>
      <c r="F4" s="85"/>
      <c r="G4" s="85"/>
      <c r="H4" s="85"/>
      <c r="I4" s="85"/>
    </row>
    <row r="5" spans="1:9">
      <c r="A5" s="85"/>
      <c r="B5" s="85"/>
      <c r="C5" s="85"/>
      <c r="D5" s="85"/>
      <c r="E5" s="85"/>
      <c r="F5" s="85"/>
      <c r="G5" s="85"/>
      <c r="H5" s="85"/>
      <c r="I5" s="85"/>
    </row>
    <row r="6" spans="1:9" ht="62.1" customHeight="1">
      <c r="A6" s="366" t="s">
        <v>143</v>
      </c>
      <c r="B6" s="366"/>
      <c r="C6" s="366"/>
      <c r="D6" s="366"/>
      <c r="E6" s="366"/>
      <c r="F6" s="366"/>
      <c r="G6" s="366"/>
      <c r="H6" s="366"/>
      <c r="I6" s="366"/>
    </row>
    <row r="7" spans="1:9" ht="18.75">
      <c r="A7" s="379" t="s">
        <v>78</v>
      </c>
      <c r="B7" s="379"/>
      <c r="C7" s="379"/>
      <c r="D7" s="379"/>
      <c r="E7" s="379"/>
      <c r="F7" s="379"/>
      <c r="G7" s="379"/>
      <c r="H7" s="379"/>
      <c r="I7" s="379"/>
    </row>
    <row r="8" spans="1:9">
      <c r="A8" s="367" t="s">
        <v>73</v>
      </c>
      <c r="B8" s="367"/>
      <c r="C8" s="367"/>
      <c r="D8" s="367"/>
      <c r="E8" s="367"/>
      <c r="F8" s="367"/>
      <c r="G8" s="367"/>
      <c r="H8" s="367"/>
      <c r="I8" s="367"/>
    </row>
    <row r="9" spans="1:9">
      <c r="A9" s="367"/>
      <c r="B9" s="367"/>
      <c r="C9" s="367"/>
      <c r="D9" s="367"/>
      <c r="E9" s="367"/>
      <c r="F9" s="367"/>
      <c r="G9" s="367"/>
      <c r="H9" s="367"/>
      <c r="I9" s="367"/>
    </row>
    <row r="10" spans="1:9" ht="48.6" customHeight="1">
      <c r="A10" s="367"/>
      <c r="B10" s="367"/>
      <c r="C10" s="367"/>
      <c r="D10" s="367"/>
      <c r="E10" s="367"/>
      <c r="F10" s="367"/>
      <c r="G10" s="367"/>
      <c r="H10" s="367"/>
      <c r="I10" s="367"/>
    </row>
    <row r="11" spans="1:9">
      <c r="A11" s="85"/>
      <c r="B11" s="85"/>
      <c r="C11" s="85"/>
      <c r="D11" s="85"/>
      <c r="E11" s="85"/>
      <c r="F11" s="85"/>
      <c r="G11" s="85"/>
      <c r="H11" s="85"/>
      <c r="I11" s="85"/>
    </row>
    <row r="12" spans="1:9">
      <c r="A12" s="85"/>
      <c r="B12" s="85"/>
      <c r="C12" s="85"/>
      <c r="D12" s="85"/>
      <c r="E12" s="85"/>
      <c r="F12" s="85"/>
      <c r="G12" s="85"/>
      <c r="H12" s="85"/>
      <c r="I12" s="85"/>
    </row>
    <row r="13" spans="1:9">
      <c r="A13" s="85"/>
      <c r="B13" s="85"/>
      <c r="C13" s="85"/>
      <c r="D13" s="85"/>
      <c r="E13" s="85"/>
      <c r="F13" s="85"/>
      <c r="G13" s="85"/>
      <c r="H13" s="85"/>
      <c r="I13" s="85"/>
    </row>
    <row r="14" spans="1:9">
      <c r="A14" s="85"/>
      <c r="B14" s="85"/>
      <c r="C14" s="85"/>
      <c r="D14" s="85"/>
      <c r="E14" s="85"/>
      <c r="F14" s="85"/>
      <c r="G14" s="85"/>
      <c r="H14" s="85"/>
      <c r="I14" s="85"/>
    </row>
    <row r="15" spans="1:9">
      <c r="A15" s="85"/>
      <c r="B15" s="85"/>
      <c r="C15" s="85"/>
      <c r="D15" s="85"/>
      <c r="E15" s="85"/>
      <c r="F15" s="85"/>
      <c r="G15" s="85"/>
      <c r="H15" s="85"/>
      <c r="I15" s="85"/>
    </row>
    <row r="16" spans="1:9">
      <c r="B16" s="85"/>
      <c r="C16" s="85"/>
      <c r="D16" s="85"/>
      <c r="E16" s="85"/>
      <c r="F16" s="85"/>
      <c r="G16" s="85"/>
      <c r="H16" s="85"/>
      <c r="I16" s="85"/>
    </row>
    <row r="17" spans="1:9">
      <c r="B17" s="85"/>
    </row>
    <row r="18" spans="1:9" ht="15.75" thickBot="1">
      <c r="B18" s="85"/>
      <c r="C18" s="85"/>
      <c r="D18" s="85"/>
      <c r="E18" s="85"/>
      <c r="F18" s="85"/>
      <c r="G18" s="85"/>
      <c r="H18" s="85"/>
      <c r="I18" s="85"/>
    </row>
    <row r="19" spans="1:9" ht="33.75" customHeight="1">
      <c r="A19" s="368" t="s">
        <v>144</v>
      </c>
      <c r="B19" s="369"/>
      <c r="C19" s="370" t="s">
        <v>182</v>
      </c>
      <c r="D19" s="371"/>
      <c r="E19" s="371"/>
      <c r="F19" s="371"/>
      <c r="G19" s="371"/>
      <c r="H19" s="371"/>
      <c r="I19" s="372"/>
    </row>
    <row r="20" spans="1:9" ht="16.5">
      <c r="A20" s="362" t="s">
        <v>156</v>
      </c>
      <c r="B20" s="363"/>
      <c r="C20" s="364"/>
      <c r="D20" s="364"/>
      <c r="E20" s="364"/>
      <c r="F20" s="364"/>
      <c r="G20" s="364"/>
      <c r="H20" s="364"/>
      <c r="I20" s="365"/>
    </row>
    <row r="21" spans="1:9" ht="16.5">
      <c r="A21" s="362" t="s">
        <v>155</v>
      </c>
      <c r="B21" s="363"/>
      <c r="C21" s="364"/>
      <c r="D21" s="364"/>
      <c r="E21" s="364"/>
      <c r="F21" s="364"/>
      <c r="G21" s="364"/>
      <c r="H21" s="364"/>
      <c r="I21" s="365"/>
    </row>
    <row r="22" spans="1:9" ht="14.45" customHeight="1">
      <c r="A22" s="362" t="s">
        <v>62</v>
      </c>
      <c r="B22" s="363"/>
      <c r="C22" s="364" t="s">
        <v>158</v>
      </c>
      <c r="D22" s="364"/>
      <c r="E22" s="364"/>
      <c r="F22" s="364"/>
      <c r="G22" s="364"/>
      <c r="H22" s="364"/>
      <c r="I22" s="365"/>
    </row>
    <row r="23" spans="1:9" ht="16.5">
      <c r="A23" s="362" t="s">
        <v>63</v>
      </c>
      <c r="B23" s="363"/>
      <c r="C23" s="364" t="s">
        <v>159</v>
      </c>
      <c r="D23" s="364"/>
      <c r="E23" s="364"/>
      <c r="F23" s="364"/>
      <c r="G23" s="364"/>
      <c r="H23" s="364"/>
      <c r="I23" s="365"/>
    </row>
    <row r="24" spans="1:9" ht="16.5">
      <c r="A24" s="362" t="s">
        <v>64</v>
      </c>
      <c r="B24" s="363"/>
      <c r="C24" s="364" t="s">
        <v>160</v>
      </c>
      <c r="D24" s="364"/>
      <c r="E24" s="364"/>
      <c r="F24" s="364"/>
      <c r="G24" s="364"/>
      <c r="H24" s="364"/>
      <c r="I24" s="365"/>
    </row>
    <row r="25" spans="1:9" ht="16.5">
      <c r="A25" s="362" t="s">
        <v>65</v>
      </c>
      <c r="B25" s="363"/>
      <c r="C25" s="394" t="s">
        <v>161</v>
      </c>
      <c r="D25" s="364"/>
      <c r="E25" s="364"/>
      <c r="F25" s="364"/>
      <c r="G25" s="364"/>
      <c r="H25" s="364"/>
      <c r="I25" s="365"/>
    </row>
    <row r="26" spans="1:9" ht="16.5">
      <c r="A26" s="362" t="s">
        <v>66</v>
      </c>
      <c r="B26" s="363"/>
      <c r="C26" s="364"/>
      <c r="D26" s="364"/>
      <c r="E26" s="364"/>
      <c r="F26" s="364"/>
      <c r="G26" s="364"/>
      <c r="H26" s="364"/>
      <c r="I26" s="365"/>
    </row>
    <row r="27" spans="1:9" ht="19.350000000000001" customHeight="1">
      <c r="A27" s="362" t="s">
        <v>67</v>
      </c>
      <c r="B27" s="363"/>
      <c r="C27" s="380" t="s">
        <v>68</v>
      </c>
      <c r="D27" s="380"/>
      <c r="E27" s="380"/>
      <c r="F27" s="380"/>
      <c r="G27" s="380"/>
      <c r="H27" s="380"/>
      <c r="I27" s="381"/>
    </row>
    <row r="28" spans="1:9" ht="33" customHeight="1" thickBot="1">
      <c r="A28" s="382" t="s">
        <v>69</v>
      </c>
      <c r="B28" s="383"/>
      <c r="C28" s="384" t="s">
        <v>70</v>
      </c>
      <c r="D28" s="384"/>
      <c r="E28" s="384"/>
      <c r="F28" s="384"/>
      <c r="G28" s="384"/>
      <c r="H28" s="384"/>
      <c r="I28" s="385"/>
    </row>
    <row r="29" spans="1:9">
      <c r="A29" s="85"/>
      <c r="B29" s="85"/>
      <c r="C29" s="85"/>
      <c r="D29" s="85"/>
      <c r="E29" s="85"/>
      <c r="F29" s="85"/>
      <c r="G29" s="85"/>
      <c r="H29" s="85"/>
      <c r="I29" s="85"/>
    </row>
    <row r="30" spans="1:9" ht="15.75" thickBot="1">
      <c r="A30" s="386" t="s">
        <v>74</v>
      </c>
      <c r="B30" s="386"/>
      <c r="C30" s="386"/>
      <c r="D30" s="386"/>
      <c r="E30" s="386"/>
      <c r="F30" s="386"/>
      <c r="G30" s="386"/>
      <c r="H30" s="386"/>
      <c r="I30" s="386"/>
    </row>
    <row r="31" spans="1:9" ht="14.45" customHeight="1">
      <c r="A31" s="387" t="s">
        <v>71</v>
      </c>
      <c r="B31" s="388"/>
      <c r="C31" s="373" t="s">
        <v>72</v>
      </c>
      <c r="D31" s="373"/>
      <c r="E31" s="392" t="s">
        <v>75</v>
      </c>
      <c r="F31" s="392"/>
      <c r="G31" s="375" t="s">
        <v>76</v>
      </c>
      <c r="H31" s="375"/>
      <c r="I31" s="377" t="s">
        <v>77</v>
      </c>
    </row>
    <row r="32" spans="1:9" ht="15.75" thickBot="1">
      <c r="A32" s="389"/>
      <c r="B32" s="390"/>
      <c r="C32" s="391"/>
      <c r="D32" s="391"/>
      <c r="E32" s="393"/>
      <c r="F32" s="393"/>
      <c r="G32" s="376"/>
      <c r="H32" s="376"/>
      <c r="I32" s="378"/>
    </row>
    <row r="33" spans="1:9">
      <c r="A33" s="373"/>
      <c r="B33" s="373"/>
      <c r="C33" s="373"/>
      <c r="D33" s="373"/>
      <c r="E33" s="373"/>
      <c r="F33" s="373"/>
      <c r="G33" s="373"/>
      <c r="H33" s="373"/>
      <c r="I33" s="373"/>
    </row>
    <row r="34" spans="1:9">
      <c r="A34" s="374"/>
      <c r="B34" s="374"/>
      <c r="C34" s="374"/>
      <c r="D34" s="374"/>
      <c r="E34" s="374"/>
      <c r="F34" s="374"/>
      <c r="G34" s="374"/>
      <c r="H34" s="374"/>
      <c r="I34" s="374"/>
    </row>
    <row r="35" spans="1:9">
      <c r="A35" s="374"/>
      <c r="B35" s="374"/>
      <c r="C35" s="374"/>
      <c r="D35" s="374"/>
      <c r="E35" s="374"/>
      <c r="F35" s="374"/>
      <c r="G35" s="374"/>
      <c r="H35" s="374"/>
      <c r="I35" s="374"/>
    </row>
    <row r="36" spans="1:9">
      <c r="A36" s="155"/>
      <c r="B36" s="155"/>
      <c r="C36" s="85"/>
      <c r="D36" s="85"/>
      <c r="E36" s="85"/>
      <c r="F36" s="85"/>
      <c r="G36" s="85"/>
      <c r="H36" s="85"/>
      <c r="I36" s="85"/>
    </row>
    <row r="37" spans="1:9">
      <c r="A37" s="85"/>
      <c r="B37" s="85"/>
      <c r="C37" s="85"/>
      <c r="D37" s="85"/>
      <c r="E37" s="85"/>
      <c r="F37" s="85"/>
      <c r="G37" s="85"/>
      <c r="H37" s="85"/>
      <c r="I37" s="85"/>
    </row>
    <row r="38" spans="1:9">
      <c r="A38" s="85"/>
      <c r="B38" s="85"/>
      <c r="C38" s="85"/>
      <c r="D38" s="85"/>
      <c r="E38" s="85"/>
      <c r="F38" s="85"/>
      <c r="G38" s="85"/>
      <c r="H38" s="85"/>
      <c r="I38" s="85"/>
    </row>
    <row r="39" spans="1:9">
      <c r="A39" s="85"/>
      <c r="B39" s="85"/>
      <c r="C39" s="85"/>
      <c r="D39" s="85"/>
      <c r="E39" s="85"/>
      <c r="F39" s="85"/>
      <c r="G39" s="85"/>
      <c r="H39" s="85"/>
      <c r="I39" s="85"/>
    </row>
    <row r="40" spans="1:9">
      <c r="A40" s="85"/>
      <c r="B40" s="85"/>
      <c r="C40" s="85"/>
      <c r="D40" s="85"/>
      <c r="E40" s="85"/>
      <c r="F40" s="85"/>
      <c r="G40" s="85"/>
      <c r="H40" s="85"/>
      <c r="I40" s="85"/>
    </row>
    <row r="41" spans="1:9">
      <c r="A41" s="85"/>
      <c r="B41" s="85"/>
      <c r="C41" s="85"/>
      <c r="D41" s="85"/>
      <c r="E41" s="85"/>
      <c r="F41" s="85"/>
      <c r="G41" s="85"/>
      <c r="H41" s="85"/>
      <c r="I41" s="85"/>
    </row>
    <row r="42" spans="1:9">
      <c r="A42" s="85"/>
      <c r="B42" s="85"/>
      <c r="C42" s="85"/>
      <c r="D42" s="85"/>
      <c r="E42" s="85"/>
      <c r="F42" s="85"/>
      <c r="G42" s="85"/>
      <c r="H42" s="85"/>
      <c r="I42" s="85"/>
    </row>
    <row r="43" spans="1:9">
      <c r="A43" s="85"/>
      <c r="B43" s="85"/>
      <c r="C43" s="85"/>
      <c r="D43" s="85"/>
      <c r="E43" s="85"/>
      <c r="F43" s="85"/>
      <c r="G43" s="85"/>
      <c r="H43" s="85"/>
      <c r="I43" s="85"/>
    </row>
    <row r="44" spans="1:9">
      <c r="A44" s="85"/>
      <c r="B44" s="85"/>
      <c r="C44" s="85"/>
      <c r="D44" s="85"/>
      <c r="E44" s="85"/>
      <c r="F44" s="85"/>
      <c r="G44" s="85"/>
      <c r="H44" s="85"/>
      <c r="I44" s="85"/>
    </row>
    <row r="45" spans="1:9">
      <c r="A45" s="85"/>
      <c r="B45" s="85"/>
      <c r="C45" s="85"/>
      <c r="D45" s="85"/>
      <c r="E45" s="85"/>
      <c r="F45" s="85"/>
      <c r="G45" s="85"/>
      <c r="H45" s="85"/>
      <c r="I45" s="85"/>
    </row>
    <row r="46" spans="1:9">
      <c r="A46" s="85"/>
      <c r="B46" s="85"/>
      <c r="C46" s="85"/>
      <c r="D46" s="85"/>
      <c r="E46" s="85"/>
      <c r="F46" s="85"/>
      <c r="G46" s="85"/>
      <c r="H46" s="85"/>
      <c r="I46" s="85"/>
    </row>
  </sheetData>
  <mergeCells count="30">
    <mergeCell ref="A33:I35"/>
    <mergeCell ref="G31:H32"/>
    <mergeCell ref="I31:I32"/>
    <mergeCell ref="A7:I7"/>
    <mergeCell ref="A27:B27"/>
    <mergeCell ref="C27:I27"/>
    <mergeCell ref="A28:B28"/>
    <mergeCell ref="C28:I28"/>
    <mergeCell ref="A30:I30"/>
    <mergeCell ref="A31:B32"/>
    <mergeCell ref="C31:D32"/>
    <mergeCell ref="E31:F32"/>
    <mergeCell ref="A24:B24"/>
    <mergeCell ref="C24:I24"/>
    <mergeCell ref="A25:B25"/>
    <mergeCell ref="C25:I25"/>
    <mergeCell ref="A26:B26"/>
    <mergeCell ref="C26:I26"/>
    <mergeCell ref="A6:I6"/>
    <mergeCell ref="A8:I10"/>
    <mergeCell ref="A22:B22"/>
    <mergeCell ref="C22:I22"/>
    <mergeCell ref="A23:B23"/>
    <mergeCell ref="C23:I23"/>
    <mergeCell ref="A19:B19"/>
    <mergeCell ref="C19:I19"/>
    <mergeCell ref="A20:B20"/>
    <mergeCell ref="C20:I20"/>
    <mergeCell ref="A21:B21"/>
    <mergeCell ref="C21:I21"/>
  </mergeCells>
  <phoneticPr fontId="46" type="noConversion"/>
  <hyperlinks>
    <hyperlink ref="C25" r:id="rId1"/>
  </hyperlinks>
  <pageMargins left="0.7" right="0.7" top="0.75" bottom="0.75" header="0.3" footer="0.3"/>
  <pageSetup paperSize="9" orientation="portrait"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85" zoomScaleNormal="85" zoomScalePageLayoutView="85" workbookViewId="0">
      <selection activeCell="J14" sqref="J14"/>
    </sheetView>
  </sheetViews>
  <sheetFormatPr defaultColWidth="8.85546875" defaultRowHeight="15"/>
  <cols>
    <col min="1" max="1" width="9.28515625" customWidth="1"/>
    <col min="2" max="3" width="15.7109375" bestFit="1" customWidth="1"/>
    <col min="4" max="4" width="14.140625" customWidth="1"/>
    <col min="5" max="5" width="15.7109375" bestFit="1" customWidth="1"/>
    <col min="6" max="6" width="16.140625" bestFit="1" customWidth="1"/>
    <col min="7" max="7" width="15" bestFit="1" customWidth="1"/>
    <col min="8" max="8" width="11.140625" customWidth="1"/>
    <col min="9" max="9" width="22.7109375" customWidth="1"/>
    <col min="10" max="10" width="22.140625" customWidth="1"/>
    <col min="11" max="11" width="20.42578125" customWidth="1"/>
    <col min="12" max="12" width="23.140625" customWidth="1"/>
  </cols>
  <sheetData>
    <row r="1" spans="1:12" ht="15.75" thickBot="1">
      <c r="A1" s="14"/>
      <c r="B1" s="397" t="s">
        <v>42</v>
      </c>
      <c r="C1" s="398"/>
      <c r="D1" s="398"/>
      <c r="E1" s="398"/>
      <c r="F1" s="398"/>
      <c r="G1" s="399"/>
      <c r="H1" s="400" t="s">
        <v>18</v>
      </c>
      <c r="I1" s="401"/>
      <c r="J1" s="401"/>
      <c r="K1" s="401"/>
      <c r="L1" s="402"/>
    </row>
    <row r="2" spans="1:12" ht="30">
      <c r="A2" s="15"/>
      <c r="B2" s="400" t="s">
        <v>43</v>
      </c>
      <c r="C2" s="401"/>
      <c r="D2" s="402"/>
      <c r="E2" s="400" t="s">
        <v>44</v>
      </c>
      <c r="F2" s="401"/>
      <c r="G2" s="402"/>
      <c r="H2" s="106" t="s">
        <v>21</v>
      </c>
      <c r="I2" s="101" t="s">
        <v>22</v>
      </c>
      <c r="J2" s="17" t="s">
        <v>23</v>
      </c>
      <c r="K2" s="403" t="s">
        <v>24</v>
      </c>
      <c r="L2" s="404"/>
    </row>
    <row r="3" spans="1:12" ht="15.75" thickBot="1">
      <c r="A3" s="16" t="s">
        <v>25</v>
      </c>
      <c r="B3" s="19" t="s">
        <v>40</v>
      </c>
      <c r="C3" s="20" t="s">
        <v>41</v>
      </c>
      <c r="D3" s="21" t="s">
        <v>28</v>
      </c>
      <c r="E3" s="19" t="s">
        <v>40</v>
      </c>
      <c r="F3" s="20" t="s">
        <v>41</v>
      </c>
      <c r="G3" s="21" t="s">
        <v>28</v>
      </c>
      <c r="H3" s="107"/>
      <c r="I3" s="102"/>
      <c r="J3" s="18"/>
      <c r="K3" s="395"/>
      <c r="L3" s="396"/>
    </row>
    <row r="4" spans="1:12">
      <c r="A4" s="100" t="s">
        <v>29</v>
      </c>
      <c r="B4" s="46">
        <f>'Prínosy - Agendové IS'!Q4-'Výdavky - Agendové IS'!Q4</f>
        <v>-204236070.33152002</v>
      </c>
      <c r="C4" s="44">
        <f>'Prínosy - Agendové IS'!R4-'Výdavky - Agendové IS'!R4</f>
        <v>-209819070.33152002</v>
      </c>
      <c r="D4" s="59">
        <f>C4-B4</f>
        <v>-5583000</v>
      </c>
      <c r="E4" s="46">
        <f>'Prínosy - Agendové IS'!T4-'Výdavky - Agendové IS'!Q4</f>
        <v>-204127285.53152001</v>
      </c>
      <c r="F4" s="46">
        <f>'Prínosy - Agendové IS'!U4-'Výdavky - Agendové IS'!R4</f>
        <v>-209500109.62352002</v>
      </c>
      <c r="G4" s="59">
        <f t="shared" ref="G4:G13" si="0">F4-E4</f>
        <v>-5372824.0920000076</v>
      </c>
      <c r="H4" s="108">
        <v>0</v>
      </c>
      <c r="I4" s="103">
        <f>D4*(1/(1+Faktory!$D$3)^H4)</f>
        <v>-5583000</v>
      </c>
      <c r="J4" s="110">
        <f>G4*(1/(1+Faktory!$D$5)^H4)</f>
        <v>-5372824.0920000076</v>
      </c>
      <c r="K4" s="109">
        <f>J4</f>
        <v>-5372824.0920000076</v>
      </c>
      <c r="L4" s="54" t="str">
        <f>IF(K4&gt;0,"Rok návratu investície","&lt;")</f>
        <v>&lt;</v>
      </c>
    </row>
    <row r="5" spans="1:12">
      <c r="A5" s="56" t="s">
        <v>30</v>
      </c>
      <c r="B5" s="46">
        <f>'Prínosy - Agendové IS'!Q5-'Výdavky - Agendové IS'!Q5</f>
        <v>-204320070.33152002</v>
      </c>
      <c r="C5" s="44">
        <f>'Prínosy - Agendové IS'!R5-'Výdavky - Agendové IS'!R5</f>
        <v>-208834070.33152002</v>
      </c>
      <c r="D5" s="49">
        <f t="shared" ref="D5:D13" si="1">C5-B5</f>
        <v>-4514000</v>
      </c>
      <c r="E5" s="46">
        <f>'Prínosy - Agendové IS'!T5-'Výdavky - Agendové IS'!Q5</f>
        <v>-204211285.53152001</v>
      </c>
      <c r="F5" s="46">
        <f>'Prínosy - Agendové IS'!U5-'Výdavky - Agendové IS'!R5</f>
        <v>-208515109.62352002</v>
      </c>
      <c r="G5" s="49">
        <f t="shared" si="0"/>
        <v>-4303824.0920000076</v>
      </c>
      <c r="H5" s="108">
        <v>1</v>
      </c>
      <c r="I5" s="104">
        <f>D5*(1/(1+Faktory!$D$3)^H5)</f>
        <v>-4340384.615384615</v>
      </c>
      <c r="J5" s="111">
        <f>G5*(1/(1+Faktory!$D$5)^H5)</f>
        <v>-4098880.0876190546</v>
      </c>
      <c r="K5" s="109">
        <f t="shared" ref="K5:K13" si="2">J5+K4</f>
        <v>-9471704.1796190627</v>
      </c>
      <c r="L5" s="54" t="str">
        <f>IF(L4="&lt;",IF(K5&gt;0,"Rok návratu investície","&lt;"),"&gt;")</f>
        <v>&lt;</v>
      </c>
    </row>
    <row r="6" spans="1:12">
      <c r="A6" s="56" t="s">
        <v>31</v>
      </c>
      <c r="B6" s="46">
        <f>'Prínosy - Agendové IS'!Q6-'Výdavky - Agendové IS'!Q6</f>
        <v>-204392070.33152002</v>
      </c>
      <c r="C6" s="44">
        <f>'Prínosy - Agendové IS'!R6-'Výdavky - Agendové IS'!R6</f>
        <v>-209096570.33152002</v>
      </c>
      <c r="D6" s="49">
        <f t="shared" si="1"/>
        <v>-4704500</v>
      </c>
      <c r="E6" s="46">
        <f>'Prínosy - Agendové IS'!T6-'Výdavky - Agendové IS'!Q6</f>
        <v>-204283285.53152001</v>
      </c>
      <c r="F6" s="46">
        <f>'Prínosy - Agendové IS'!U6-'Výdavky - Agendové IS'!R6</f>
        <v>-206375562.57779074</v>
      </c>
      <c r="G6" s="49">
        <f t="shared" si="0"/>
        <v>-2092277.0462707281</v>
      </c>
      <c r="H6" s="108">
        <v>2</v>
      </c>
      <c r="I6" s="104">
        <f>D6*(1/(1+Faktory!$D$3)^H6)</f>
        <v>-4349574.7041420117</v>
      </c>
      <c r="J6" s="111">
        <f>G6*(1/(1+Faktory!$D$5)^H6)</f>
        <v>-1897756.9580686875</v>
      </c>
      <c r="K6" s="109">
        <f t="shared" si="2"/>
        <v>-11369461.13768775</v>
      </c>
      <c r="L6" s="54" t="str">
        <f>IF(L5="&lt;",IF(K6&gt;0,"Rok návratu investície","&lt;"),"&gt;")</f>
        <v>&lt;</v>
      </c>
    </row>
    <row r="7" spans="1:12">
      <c r="A7" s="56" t="s">
        <v>32</v>
      </c>
      <c r="B7" s="46">
        <f>'Prínosy - Agendové IS'!Q7-'Výdavky - Agendové IS'!Q7</f>
        <v>-204392070.33152002</v>
      </c>
      <c r="C7" s="44">
        <f>'Prínosy - Agendové IS'!R7-'Výdavky - Agendové IS'!R7</f>
        <v>-209096570.33152002</v>
      </c>
      <c r="D7" s="49">
        <f t="shared" si="1"/>
        <v>-4704500</v>
      </c>
      <c r="E7" s="46">
        <f>'Prínosy - Agendové IS'!T7-'Výdavky - Agendové IS'!Q7</f>
        <v>-204283285.53152001</v>
      </c>
      <c r="F7" s="46">
        <f>'Prínosy - Agendové IS'!U7-'Výdavky - Agendové IS'!R7</f>
        <v>-202588750.36816138</v>
      </c>
      <c r="G7" s="49">
        <f t="shared" si="0"/>
        <v>1694535.1633586287</v>
      </c>
      <c r="H7" s="108">
        <v>3</v>
      </c>
      <c r="I7" s="104">
        <f>D7*(1/(1+Faktory!$D$3)^H7)</f>
        <v>-4182283.3693673192</v>
      </c>
      <c r="J7" s="111">
        <f>G7*(1/(1+Faktory!$D$5)^H7)</f>
        <v>1463803.1861428602</v>
      </c>
      <c r="K7" s="109">
        <f t="shared" si="2"/>
        <v>-9905657.9515448902</v>
      </c>
      <c r="L7" s="54" t="str">
        <f t="shared" ref="L7:L13" si="3">IF(L6="&lt;",IF(K7&gt;0,"Rok návratu investície","&lt;"),"&gt;")</f>
        <v>&lt;</v>
      </c>
    </row>
    <row r="8" spans="1:12">
      <c r="A8" s="56" t="s">
        <v>33</v>
      </c>
      <c r="B8" s="46">
        <f>'Prínosy - Agendové IS'!Q8-'Výdavky - Agendové IS'!Q8</f>
        <v>-204392070.33152002</v>
      </c>
      <c r="C8" s="44">
        <f>'Prínosy - Agendové IS'!R8-'Výdavky - Agendové IS'!R8</f>
        <v>-203241929.99400961</v>
      </c>
      <c r="D8" s="49">
        <f t="shared" si="1"/>
        <v>1150140.337510407</v>
      </c>
      <c r="E8" s="46">
        <f>'Prínosy - Agendové IS'!T8-'Výdavky - Agendové IS'!Q8</f>
        <v>-204283285.53152001</v>
      </c>
      <c r="F8" s="46">
        <f>'Prínosy - Agendové IS'!U8-'Výdavky - Agendové IS'!R8</f>
        <v>-192743147.49451396</v>
      </c>
      <c r="G8" s="49">
        <f t="shared" si="0"/>
        <v>11540138.03700605</v>
      </c>
      <c r="H8" s="108">
        <v>4</v>
      </c>
      <c r="I8" s="104">
        <f>D8*(1/(1+Faktory!$D$3)^H8)</f>
        <v>983144.78077623912</v>
      </c>
      <c r="J8" s="111">
        <f>G8*(1/(1+Faktory!$D$5)^H8)</f>
        <v>9494100.1224848088</v>
      </c>
      <c r="K8" s="109">
        <f t="shared" si="2"/>
        <v>-411557.82906008139</v>
      </c>
      <c r="L8" s="54" t="str">
        <f t="shared" si="3"/>
        <v>&lt;</v>
      </c>
    </row>
    <row r="9" spans="1:12">
      <c r="A9" s="56" t="s">
        <v>34</v>
      </c>
      <c r="B9" s="46">
        <f>'Prínosy - Agendové IS'!Q9-'Výdavky - Agendové IS'!Q9</f>
        <v>-204392070.33152002</v>
      </c>
      <c r="C9" s="44">
        <f>'Prínosy - Agendové IS'!R9-'Výdavky - Agendové IS'!R9</f>
        <v>-200358632.46324942</v>
      </c>
      <c r="D9" s="49">
        <f t="shared" si="1"/>
        <v>4033437.8682706058</v>
      </c>
      <c r="E9" s="46">
        <f>'Prínosy - Agendové IS'!T9-'Výdavky - Agendové IS'!Q9</f>
        <v>-204283285.53152001</v>
      </c>
      <c r="F9" s="46">
        <f>'Prínosy - Agendové IS'!U9-'Výdavky - Agendové IS'!R9</f>
        <v>-183978817.39262938</v>
      </c>
      <c r="G9" s="49">
        <f t="shared" si="0"/>
        <v>20304468.138890624</v>
      </c>
      <c r="H9" s="108">
        <v>5</v>
      </c>
      <c r="I9" s="104">
        <f>D9*(1/(1+Faktory!$D$3)^H9)</f>
        <v>3315191.9173612655</v>
      </c>
      <c r="J9" s="111">
        <f>G9*(1/(1+Faktory!$D$5)^H9)</f>
        <v>15909082.083045937</v>
      </c>
      <c r="K9" s="109">
        <f t="shared" si="2"/>
        <v>15497524.253985856</v>
      </c>
      <c r="L9" s="54" t="str">
        <f t="shared" si="3"/>
        <v>Rok návratu investície</v>
      </c>
    </row>
    <row r="10" spans="1:12">
      <c r="A10" s="56" t="s">
        <v>35</v>
      </c>
      <c r="B10" s="46">
        <f>'Prínosy - Agendové IS'!Q10-'Výdavky - Agendové IS'!Q10</f>
        <v>-204392070.33152002</v>
      </c>
      <c r="C10" s="44">
        <f>'Prínosy - Agendové IS'!R10-'Výdavky - Agendové IS'!R10</f>
        <v>-197653000.88310441</v>
      </c>
      <c r="D10" s="49">
        <f t="shared" si="1"/>
        <v>6739069.4484156072</v>
      </c>
      <c r="E10" s="46">
        <f>'Prínosy - Agendové IS'!T10-'Výdavky - Agendové IS'!Q10</f>
        <v>-204283285.53152001</v>
      </c>
      <c r="F10" s="46">
        <f>'Prínosy - Agendové IS'!U10-'Výdavky - Agendové IS'!R10</f>
        <v>-180726268.08288237</v>
      </c>
      <c r="G10" s="49">
        <f t="shared" si="0"/>
        <v>23557017.448637635</v>
      </c>
      <c r="H10" s="108">
        <v>6</v>
      </c>
      <c r="I10" s="104">
        <f>D10*(1/(1+Faktory!$D$3)^H10)</f>
        <v>5325984.4749870952</v>
      </c>
      <c r="J10" s="111">
        <f>G10*(1/(1+Faktory!$D$5)^H10)</f>
        <v>17578609.119011089</v>
      </c>
      <c r="K10" s="109">
        <f t="shared" si="2"/>
        <v>33076133.372996945</v>
      </c>
      <c r="L10" s="54" t="str">
        <f t="shared" si="3"/>
        <v>&gt;</v>
      </c>
    </row>
    <row r="11" spans="1:12">
      <c r="A11" s="56" t="s">
        <v>36</v>
      </c>
      <c r="B11" s="46">
        <f>'Prínosy - Agendové IS'!Q11-'Výdavky - Agendové IS'!Q11</f>
        <v>-204392070.33152002</v>
      </c>
      <c r="C11" s="44">
        <f>'Prínosy - Agendové IS'!R11-'Výdavky - Agendové IS'!R11</f>
        <v>-194763881.93456233</v>
      </c>
      <c r="D11" s="49">
        <f t="shared" si="1"/>
        <v>9628188.3969576955</v>
      </c>
      <c r="E11" s="46">
        <f>'Prínosy - Agendové IS'!T11-'Výdavky - Agendové IS'!Q11</f>
        <v>-204283285.53152001</v>
      </c>
      <c r="F11" s="46">
        <f>'Prínosy - Agendové IS'!U11-'Výdavky - Agendové IS'!R11</f>
        <v>-177114698.93444669</v>
      </c>
      <c r="G11" s="49">
        <f t="shared" si="0"/>
        <v>27168586.597073317</v>
      </c>
      <c r="H11" s="108">
        <v>7</v>
      </c>
      <c r="I11" s="104">
        <f>D11*(1/(1+Faktory!$D$3)^H11)</f>
        <v>7316631.8717135713</v>
      </c>
      <c r="J11" s="111">
        <f>G11*(1/(1+Faktory!$D$5)^H11)</f>
        <v>19308207.260563456</v>
      </c>
      <c r="K11" s="109">
        <f t="shared" si="2"/>
        <v>52384340.633560404</v>
      </c>
      <c r="L11" s="54" t="str">
        <f t="shared" si="3"/>
        <v>&gt;</v>
      </c>
    </row>
    <row r="12" spans="1:12">
      <c r="A12" s="56" t="s">
        <v>37</v>
      </c>
      <c r="B12" s="46">
        <f>'Prínosy - Agendové IS'!Q12-'Výdavky - Agendové IS'!Q12</f>
        <v>-204392070.33152002</v>
      </c>
      <c r="C12" s="44">
        <f>'Prínosy - Agendové IS'!R12-'Výdavky - Agendové IS'!R12</f>
        <v>-192050145.36499107</v>
      </c>
      <c r="D12" s="49">
        <f t="shared" si="1"/>
        <v>12341924.966528952</v>
      </c>
      <c r="E12" s="46">
        <f>'Prínosy - Agendové IS'!T12-'Výdavky - Agendové IS'!Q12</f>
        <v>-204283285.53152001</v>
      </c>
      <c r="F12" s="46">
        <f>'Prínosy - Agendové IS'!U12-'Výdavky - Agendové IS'!R12</f>
        <v>-173761465.39464927</v>
      </c>
      <c r="G12" s="49">
        <f t="shared" si="0"/>
        <v>30521820.136870742</v>
      </c>
      <c r="H12" s="108">
        <v>8</v>
      </c>
      <c r="I12" s="104">
        <f>D12*(1/(1+Faktory!$D$3)^H12)</f>
        <v>9018123.6839121412</v>
      </c>
      <c r="J12" s="111">
        <f>G12*(1/(1+Faktory!$D$5)^H12)</f>
        <v>20658369.269393932</v>
      </c>
      <c r="K12" s="109">
        <f t="shared" si="2"/>
        <v>73042709.90295434</v>
      </c>
      <c r="L12" s="54" t="str">
        <f t="shared" si="3"/>
        <v>&gt;</v>
      </c>
    </row>
    <row r="13" spans="1:12" ht="15.75" thickBot="1">
      <c r="A13" s="56" t="s">
        <v>38</v>
      </c>
      <c r="B13" s="99">
        <f>'Prínosy - Agendové IS'!Q13-'Výdavky - Agendové IS'!Q13</f>
        <v>-204392070.33152002</v>
      </c>
      <c r="C13" s="92">
        <f>'Prínosy - Agendové IS'!R13-'Výdavky - Agendové IS'!R13</f>
        <v>-192170145.36499107</v>
      </c>
      <c r="D13" s="63">
        <f t="shared" si="1"/>
        <v>12221924.966528952</v>
      </c>
      <c r="E13" s="46">
        <f>'Prínosy - Agendové IS'!T13-'Výdavky - Agendové IS'!Q13</f>
        <v>-204283285.53152001</v>
      </c>
      <c r="F13" s="46">
        <f>'Prínosy - Agendové IS'!U13-'Výdavky - Agendové IS'!R13</f>
        <v>-177462922.55539036</v>
      </c>
      <c r="G13" s="63">
        <f t="shared" si="0"/>
        <v>26820362.976129651</v>
      </c>
      <c r="H13" s="108">
        <v>9</v>
      </c>
      <c r="I13" s="105">
        <f>D13*(1/(1+Faktory!$D$3)^H13)</f>
        <v>8586962.3647229839</v>
      </c>
      <c r="J13" s="112">
        <f>G13*(1/(1+Faktory!$D$5)^H13)</f>
        <v>17288645.110610869</v>
      </c>
      <c r="K13" s="109">
        <f t="shared" si="2"/>
        <v>90331355.013565212</v>
      </c>
      <c r="L13" s="54" t="str">
        <f t="shared" si="3"/>
        <v>&gt;</v>
      </c>
    </row>
    <row r="14" spans="1:12" ht="15.75" thickBot="1">
      <c r="A14" s="130" t="s">
        <v>39</v>
      </c>
      <c r="B14" s="93">
        <f t="shared" ref="B14:G14" si="4">SUM(B4:B13)</f>
        <v>-2043692703.3152006</v>
      </c>
      <c r="C14" s="94">
        <f t="shared" si="4"/>
        <v>-2017084017.3309879</v>
      </c>
      <c r="D14" s="94">
        <f t="shared" si="4"/>
        <v>26608685.98421222</v>
      </c>
      <c r="E14" s="94">
        <f t="shared" si="4"/>
        <v>-2042604855.3151999</v>
      </c>
      <c r="F14" s="94">
        <f t="shared" si="4"/>
        <v>-1912766852.0475042</v>
      </c>
      <c r="G14" s="95">
        <f t="shared" si="4"/>
        <v>129838003.2676959</v>
      </c>
      <c r="H14" s="131" t="s">
        <v>39</v>
      </c>
      <c r="I14" s="133">
        <f>SUM(I4:I13)</f>
        <v>16090796.404579349</v>
      </c>
      <c r="J14" s="132">
        <f>SUM(J4:J13)</f>
        <v>90331355.013565212</v>
      </c>
      <c r="K14" s="12"/>
      <c r="L14" s="12"/>
    </row>
    <row r="17" spans="2:3">
      <c r="B17" t="s">
        <v>189</v>
      </c>
      <c r="C17" s="241">
        <f>IRR(G4:G13)</f>
        <v>0.55336735797097525</v>
      </c>
    </row>
  </sheetData>
  <mergeCells count="6">
    <mergeCell ref="K3:L3"/>
    <mergeCell ref="B1:G1"/>
    <mergeCell ref="H1:L1"/>
    <mergeCell ref="B2:D2"/>
    <mergeCell ref="E2:G2"/>
    <mergeCell ref="K2:L2"/>
  </mergeCells>
  <conditionalFormatting sqref="L4:L13">
    <cfRule type="cellIs" dxfId="5" priority="1" stopIfTrue="1" operator="equal">
      <formula>"Rok návratu investície"</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85" zoomScaleNormal="85" zoomScalePageLayoutView="85" workbookViewId="0">
      <selection activeCell="D8" sqref="D8"/>
    </sheetView>
  </sheetViews>
  <sheetFormatPr defaultColWidth="8.85546875" defaultRowHeight="15"/>
  <cols>
    <col min="1" max="1" width="41.140625" style="116" customWidth="1"/>
    <col min="2" max="2" width="9.42578125" style="116" hidden="1" customWidth="1"/>
    <col min="3" max="3" width="14.85546875" style="116" hidden="1" customWidth="1"/>
    <col min="4" max="4" width="24.28515625" customWidth="1"/>
    <col min="5" max="6" width="19.42578125" bestFit="1" customWidth="1"/>
    <col min="7" max="9" width="20.42578125" bestFit="1" customWidth="1"/>
    <col min="10" max="10" width="19.42578125" bestFit="1" customWidth="1"/>
    <col min="11" max="11" width="19.28515625" customWidth="1"/>
    <col min="12" max="12" width="20.42578125" bestFit="1" customWidth="1"/>
  </cols>
  <sheetData>
    <row r="1" spans="1:12">
      <c r="A1" s="123"/>
      <c r="B1" s="115"/>
      <c r="C1" s="121" t="s">
        <v>88</v>
      </c>
      <c r="D1" s="114">
        <v>-3</v>
      </c>
      <c r="E1" s="114">
        <v>-0.6</v>
      </c>
      <c r="F1" s="114">
        <v>-0.4</v>
      </c>
      <c r="G1" s="114">
        <v>-0.01</v>
      </c>
      <c r="H1" s="114">
        <v>0</v>
      </c>
      <c r="I1" s="114">
        <v>0.01</v>
      </c>
      <c r="J1" s="114">
        <v>0.4</v>
      </c>
      <c r="K1" s="114">
        <v>0.6</v>
      </c>
      <c r="L1" s="114">
        <v>2</v>
      </c>
    </row>
    <row r="2" spans="1:12">
      <c r="A2" s="124" t="str">
        <f>'Parametre - Agendové IS'!A3:A3</f>
        <v>Počet podaní</v>
      </c>
      <c r="B2" s="118">
        <v>0</v>
      </c>
      <c r="C2" s="119">
        <f>'CBA - Agendové IS'!$J$14</f>
        <v>90331355.013565212</v>
      </c>
      <c r="D2" s="120">
        <f t="dataTable" ref="D2:L2" dt2D="0" dtr="1" r1="B2" ca="1"/>
        <v>4726388388.0324879</v>
      </c>
      <c r="E2" s="120">
        <v>1017542761.6173497</v>
      </c>
      <c r="F2" s="120">
        <v>708472292.74942172</v>
      </c>
      <c r="G2" s="120">
        <v>105784878.45696156</v>
      </c>
      <c r="H2" s="120">
        <v>90331355.013565212</v>
      </c>
      <c r="I2" s="120">
        <v>74877831.570169017</v>
      </c>
      <c r="J2" s="120">
        <v>-527809582.72229129</v>
      </c>
      <c r="K2" s="120">
        <v>-836880051.59021938</v>
      </c>
      <c r="L2" s="120">
        <v>-3000373333.6657176</v>
      </c>
    </row>
    <row r="3" spans="1:12">
      <c r="A3" s="123"/>
      <c r="B3" s="115"/>
      <c r="C3" s="115"/>
      <c r="D3" s="114">
        <v>-3</v>
      </c>
      <c r="E3" s="114">
        <v>-0.6</v>
      </c>
      <c r="F3" s="114">
        <v>-0.4</v>
      </c>
      <c r="G3" s="114">
        <v>-0.01</v>
      </c>
      <c r="H3" s="114">
        <v>0</v>
      </c>
      <c r="I3" s="114">
        <v>0.01</v>
      </c>
      <c r="J3" s="114">
        <v>0.4</v>
      </c>
      <c r="K3" s="114">
        <v>0.6</v>
      </c>
      <c r="L3" s="114">
        <v>2</v>
      </c>
    </row>
    <row r="4" spans="1:12">
      <c r="A4" s="124" t="str">
        <f>'Parametre - Agendové IS'!A13:A13</f>
        <v>Výška administratívneho poplatku</v>
      </c>
      <c r="B4" s="118">
        <v>0</v>
      </c>
      <c r="C4" s="119">
        <f>'CBA - Agendové IS'!$J$14</f>
        <v>90331355.013565212</v>
      </c>
      <c r="D4">
        <f t="dataTable" ref="D4:L4" dt2D="0" dtr="1" r1="B4" ca="1"/>
        <v>90331355.013565212</v>
      </c>
      <c r="E4">
        <v>90331355.013565212</v>
      </c>
      <c r="F4">
        <v>90331355.013565212</v>
      </c>
      <c r="G4">
        <v>90331355.013565212</v>
      </c>
      <c r="H4">
        <v>90331355.013565212</v>
      </c>
      <c r="I4">
        <v>90331355.013565212</v>
      </c>
      <c r="J4">
        <v>90331355.013565212</v>
      </c>
      <c r="K4">
        <v>90331355.013565212</v>
      </c>
      <c r="L4">
        <v>90331355.013565212</v>
      </c>
    </row>
    <row r="5" spans="1:12">
      <c r="A5" s="123"/>
      <c r="B5" s="115"/>
      <c r="C5" s="115"/>
      <c r="D5" s="114">
        <v>-3</v>
      </c>
      <c r="E5" s="114">
        <v>-0.6</v>
      </c>
      <c r="F5" s="114">
        <v>-0.4</v>
      </c>
      <c r="G5" s="114">
        <v>-0.01</v>
      </c>
      <c r="H5" s="114">
        <v>0</v>
      </c>
      <c r="I5" s="114">
        <v>0.01</v>
      </c>
      <c r="J5" s="114">
        <v>0.4</v>
      </c>
      <c r="K5" s="114">
        <v>0.6</v>
      </c>
      <c r="L5" s="114">
        <v>2</v>
      </c>
    </row>
    <row r="6" spans="1:12">
      <c r="A6" s="124" t="str">
        <f>'Parametre - Agendové IS'!A23:A23</f>
        <v>Trvanie spracovania podania</v>
      </c>
      <c r="B6" s="118">
        <v>0</v>
      </c>
      <c r="C6" s="119">
        <f>'CBA - Agendové IS'!$J$14</f>
        <v>90331355.013565212</v>
      </c>
      <c r="D6">
        <f t="dataTable" ref="D6:L6" dt2D="0" dtr="1" r1="B6" ca="1"/>
        <v>3547782287.6523972</v>
      </c>
      <c r="E6">
        <v>781821541.54133153</v>
      </c>
      <c r="F6">
        <v>551324812.69874287</v>
      </c>
      <c r="G6">
        <v>101856191.45569456</v>
      </c>
      <c r="H6">
        <v>90331355.013565212</v>
      </c>
      <c r="I6">
        <v>78806518.571435675</v>
      </c>
      <c r="J6">
        <v>-370662102.67161238</v>
      </c>
      <c r="K6">
        <v>-601158831.51420128</v>
      </c>
      <c r="L6">
        <v>-2214635933.412323</v>
      </c>
    </row>
    <row r="7" spans="1:12">
      <c r="A7" s="123"/>
      <c r="B7" s="115"/>
      <c r="C7" s="115"/>
      <c r="D7" s="114">
        <v>-3</v>
      </c>
      <c r="E7" s="114">
        <v>-0.6</v>
      </c>
      <c r="F7" s="114">
        <v>-0.4</v>
      </c>
      <c r="G7" s="114">
        <v>-0.01</v>
      </c>
      <c r="H7" s="114">
        <v>0</v>
      </c>
      <c r="I7" s="114">
        <v>0.01</v>
      </c>
      <c r="J7" s="114">
        <v>0.4</v>
      </c>
      <c r="K7" s="114">
        <v>0.6</v>
      </c>
      <c r="L7" s="114">
        <v>2</v>
      </c>
    </row>
    <row r="8" spans="1:12" ht="30">
      <c r="A8" s="124" t="str">
        <f>'Parametre - Agendové IS'!A33:A33</f>
        <v>Priemerný čas potrebný na vypracovanie a doručenie podania</v>
      </c>
      <c r="B8" s="118">
        <v>0</v>
      </c>
      <c r="C8" s="119">
        <f>'CBA - Agendové IS'!$J$14</f>
        <v>90331355.013565212</v>
      </c>
      <c r="D8">
        <f t="dataTable" ref="D8:L8" dt2D="0" dtr="1" r1="B8" ca="1"/>
        <v>2134149823.5337596</v>
      </c>
      <c r="E8">
        <v>499095048.71760398</v>
      </c>
      <c r="F8">
        <v>362840484.14959121</v>
      </c>
      <c r="G8">
        <v>97144083.24196583</v>
      </c>
      <c r="H8">
        <v>90331355.013565212</v>
      </c>
      <c r="I8">
        <v>83518626.78516452</v>
      </c>
      <c r="J8">
        <v>-182177774.12246081</v>
      </c>
      <c r="K8">
        <v>-318432338.69047385</v>
      </c>
      <c r="L8">
        <v>-1272214290.6665645</v>
      </c>
    </row>
    <row r="9" spans="1:12">
      <c r="A9" s="123"/>
      <c r="B9" s="115"/>
      <c r="C9" s="115"/>
      <c r="D9" s="114">
        <v>-3</v>
      </c>
      <c r="E9" s="114">
        <v>-0.6</v>
      </c>
      <c r="F9" s="114">
        <v>-0.4</v>
      </c>
      <c r="G9" s="114">
        <v>-0.01</v>
      </c>
      <c r="H9" s="114">
        <v>0</v>
      </c>
      <c r="I9" s="114">
        <v>0.01</v>
      </c>
      <c r="J9" s="114">
        <v>0.4</v>
      </c>
      <c r="K9" s="114">
        <v>0.6</v>
      </c>
      <c r="L9" s="114">
        <v>2</v>
      </c>
    </row>
    <row r="10" spans="1:12">
      <c r="A10" s="124" t="str">
        <f>'Parametre - Agendové IS'!A43:A43</f>
        <v>Počet zamestnancov vybavujúcich agendu</v>
      </c>
      <c r="B10" s="118">
        <v>0</v>
      </c>
      <c r="C10" s="119">
        <f>'CBA - Agendové IS'!$J$14</f>
        <v>90331355.013565212</v>
      </c>
      <c r="D10">
        <f t="dataTable" ref="D10:L10" dt2D="0" dtr="1" r1="B10" ca="1"/>
        <v>3547782287.6523972</v>
      </c>
      <c r="E10">
        <v>781821541.54133153</v>
      </c>
      <c r="F10">
        <v>551324812.69874287</v>
      </c>
      <c r="G10">
        <v>101856191.45569465</v>
      </c>
      <c r="H10">
        <v>90331355.013565212</v>
      </c>
      <c r="I10">
        <v>78806518.571435705</v>
      </c>
      <c r="J10">
        <v>-370662102.67161238</v>
      </c>
      <c r="K10">
        <v>-601158831.5142014</v>
      </c>
      <c r="L10">
        <v>-2214635933.412323</v>
      </c>
    </row>
    <row r="11" spans="1:12">
      <c r="A11" s="123"/>
      <c r="B11" s="115"/>
      <c r="C11" s="115"/>
      <c r="D11" s="114">
        <v>-3</v>
      </c>
      <c r="E11" s="114">
        <v>-0.6</v>
      </c>
      <c r="F11" s="114">
        <v>-0.4</v>
      </c>
      <c r="G11" s="114">
        <v>-0.01</v>
      </c>
      <c r="H11" s="114">
        <v>0</v>
      </c>
      <c r="I11" s="114">
        <v>0.01</v>
      </c>
      <c r="J11" s="114">
        <v>0.4</v>
      </c>
      <c r="K11" s="114">
        <v>0.6</v>
      </c>
      <c r="L11" s="114">
        <v>2</v>
      </c>
    </row>
    <row r="12" spans="1:12">
      <c r="A12" s="124" t="str">
        <f>'Parametre - Agendové IS'!A53:A53</f>
        <v>Kvalitatívne prínosy</v>
      </c>
      <c r="B12" s="118">
        <v>0</v>
      </c>
      <c r="C12" s="119">
        <f>'CBA - Agendové IS'!$J$14</f>
        <v>90331355.013565212</v>
      </c>
      <c r="D12">
        <f t="dataTable" ref="D12:L12" dt2D="0" dtr="1" r1="B12"/>
        <v>67145434.983877093</v>
      </c>
      <c r="E12">
        <v>85694171.007627547</v>
      </c>
      <c r="F12">
        <v>87239899.009606779</v>
      </c>
      <c r="G12">
        <v>90254068.613466233</v>
      </c>
      <c r="H12">
        <v>90331355.013565212</v>
      </c>
      <c r="I12">
        <v>90408641.413664147</v>
      </c>
      <c r="J12">
        <v>93422811.017523602</v>
      </c>
      <c r="K12">
        <v>94968539.019502819</v>
      </c>
      <c r="L12">
        <v>105788635.03335725</v>
      </c>
    </row>
  </sheetData>
  <conditionalFormatting sqref="D1:L1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topLeftCell="B1" zoomScale="110" zoomScaleNormal="110" zoomScalePageLayoutView="110" workbookViewId="0">
      <selection activeCell="P4" sqref="P4:P13"/>
    </sheetView>
  </sheetViews>
  <sheetFormatPr defaultColWidth="8.85546875" defaultRowHeight="15"/>
  <cols>
    <col min="1" max="1" width="9.42578125" customWidth="1"/>
    <col min="2" max="2" width="12.28515625" customWidth="1"/>
    <col min="3" max="3" width="12.85546875" customWidth="1"/>
    <col min="4" max="4" width="11.42578125" bestFit="1" customWidth="1"/>
    <col min="5" max="5" width="11.140625" customWidth="1"/>
    <col min="6" max="6" width="12" customWidth="1"/>
    <col min="8" max="8" width="15.85546875" bestFit="1" customWidth="1"/>
    <col min="9" max="9" width="15.85546875" customWidth="1"/>
    <col min="10" max="10" width="13.42578125" bestFit="1" customWidth="1"/>
    <col min="11" max="11" width="13.7109375" customWidth="1"/>
    <col min="12" max="12" width="13.85546875" customWidth="1"/>
    <col min="13" max="13" width="13.42578125" bestFit="1" customWidth="1"/>
    <col min="14" max="14" width="12.140625" customWidth="1"/>
    <col min="15" max="15" width="14.85546875" customWidth="1"/>
    <col min="16" max="16" width="13.7109375" customWidth="1"/>
    <col min="17" max="17" width="11.7109375" customWidth="1"/>
    <col min="18" max="18" width="14" customWidth="1"/>
    <col min="19" max="19" width="14.28515625" customWidth="1"/>
    <col min="20" max="20" width="12.7109375" bestFit="1" customWidth="1"/>
    <col min="21" max="22" width="15.42578125" bestFit="1" customWidth="1"/>
  </cols>
  <sheetData>
    <row r="1" spans="1:22" ht="15.75" thickBot="1">
      <c r="A1" s="36"/>
      <c r="B1" s="397" t="s">
        <v>54</v>
      </c>
      <c r="C1" s="398"/>
      <c r="D1" s="399"/>
      <c r="E1" s="397" t="s">
        <v>55</v>
      </c>
      <c r="F1" s="398"/>
      <c r="G1" s="398"/>
      <c r="H1" s="398"/>
      <c r="I1" s="398"/>
      <c r="J1" s="398"/>
      <c r="K1" s="398"/>
      <c r="L1" s="398"/>
      <c r="M1" s="398"/>
      <c r="N1" s="398"/>
      <c r="O1" s="398"/>
      <c r="P1" s="399"/>
      <c r="Q1" s="400" t="s">
        <v>56</v>
      </c>
      <c r="R1" s="401"/>
      <c r="S1" s="401"/>
      <c r="T1" s="401"/>
      <c r="U1" s="401"/>
      <c r="V1" s="402"/>
    </row>
    <row r="2" spans="1:22" ht="24" customHeight="1">
      <c r="A2" s="13"/>
      <c r="B2" s="400" t="s">
        <v>57</v>
      </c>
      <c r="C2" s="401"/>
      <c r="D2" s="402"/>
      <c r="E2" s="405" t="s">
        <v>58</v>
      </c>
      <c r="F2" s="406"/>
      <c r="G2" s="407"/>
      <c r="H2" s="408" t="s">
        <v>59</v>
      </c>
      <c r="I2" s="406"/>
      <c r="J2" s="407"/>
      <c r="K2" s="410" t="s">
        <v>90</v>
      </c>
      <c r="L2" s="411"/>
      <c r="M2" s="412"/>
      <c r="N2" s="408" t="s">
        <v>60</v>
      </c>
      <c r="O2" s="406"/>
      <c r="P2" s="409"/>
      <c r="Q2" s="401" t="s">
        <v>19</v>
      </c>
      <c r="R2" s="401"/>
      <c r="S2" s="402"/>
      <c r="T2" s="401" t="s">
        <v>20</v>
      </c>
      <c r="U2" s="401"/>
      <c r="V2" s="402"/>
    </row>
    <row r="3" spans="1:22" ht="18.600000000000001" customHeight="1" thickBot="1">
      <c r="A3" s="37" t="s">
        <v>25</v>
      </c>
      <c r="B3" s="41" t="s">
        <v>40</v>
      </c>
      <c r="C3" s="38" t="s">
        <v>41</v>
      </c>
      <c r="D3" s="42" t="s">
        <v>28</v>
      </c>
      <c r="E3" s="19" t="s">
        <v>40</v>
      </c>
      <c r="F3" s="20" t="s">
        <v>41</v>
      </c>
      <c r="G3" s="40" t="s">
        <v>28</v>
      </c>
      <c r="H3" s="39" t="s">
        <v>40</v>
      </c>
      <c r="I3" s="20" t="s">
        <v>41</v>
      </c>
      <c r="J3" s="40" t="s">
        <v>28</v>
      </c>
      <c r="K3" s="39" t="s">
        <v>40</v>
      </c>
      <c r="L3" s="20" t="s">
        <v>41</v>
      </c>
      <c r="M3" s="21" t="s">
        <v>28</v>
      </c>
      <c r="N3" s="39" t="s">
        <v>40</v>
      </c>
      <c r="O3" s="20" t="s">
        <v>41</v>
      </c>
      <c r="P3" s="21" t="s">
        <v>28</v>
      </c>
      <c r="Q3" s="20" t="s">
        <v>40</v>
      </c>
      <c r="R3" s="20" t="s">
        <v>41</v>
      </c>
      <c r="S3" s="21" t="s">
        <v>28</v>
      </c>
      <c r="T3" s="20" t="s">
        <v>40</v>
      </c>
      <c r="U3" s="20" t="s">
        <v>41</v>
      </c>
      <c r="V3" s="21" t="s">
        <v>28</v>
      </c>
    </row>
    <row r="4" spans="1:22" ht="15.75" thickBot="1">
      <c r="A4" s="55" t="s">
        <v>29</v>
      </c>
      <c r="B4" s="46">
        <f>IF(ISERR('Parametre - Agendové IS'!D3*'Parametre - Agendové IS'!D13),"-",'Parametre - Agendové IS'!D3*'Parametre - Agendové IS'!D13)</f>
        <v>0</v>
      </c>
      <c r="C4" s="44">
        <f>IF(ISERR('Parametre - Agendové IS'!E3*'Parametre - Agendové IS'!E13),"-",'Parametre - Agendové IS'!E3*'Parametre - Agendové IS'!E13)</f>
        <v>0</v>
      </c>
      <c r="D4" s="49">
        <f>IF(ISERR(C4-B4),"-",C4-B4)</f>
        <v>0</v>
      </c>
      <c r="E4" s="58"/>
      <c r="F4" s="51"/>
      <c r="G4" s="59">
        <f t="shared" ref="G4:G13" si="0">IF(ISERR(F4-E4),"-",F4-E4)</f>
        <v>0</v>
      </c>
      <c r="H4" s="52">
        <v>0</v>
      </c>
      <c r="I4" s="44">
        <f>IF(ISERR(Faktory!$D$11*'Parametre - Agendové IS'!E3*('Parametre - Agendové IS'!D33-'Parametre - Agendové IS'!E33)),"-",Faktory!$D$11*'Parametre - Agendové IS'!E3*('Parametre - Agendové IS'!D33-'Parametre - Agendové IS'!E33))</f>
        <v>0</v>
      </c>
      <c r="J4" s="59">
        <f>IF(ISERR(I4-H4),"-",I4-H4)</f>
        <v>0</v>
      </c>
      <c r="K4" s="126">
        <f>'Spotrebované cloudové služby'!D3</f>
        <v>108784.80000000002</v>
      </c>
      <c r="L4" s="125">
        <f>'Spotrebované cloudové služby'!E3</f>
        <v>318960.70800000004</v>
      </c>
      <c r="M4" s="127">
        <f t="shared" ref="M4:M13" si="1">IF(ISERR(K4-L4),"-",K4-L4)</f>
        <v>-210175.90800000002</v>
      </c>
      <c r="N4" s="46">
        <f>'Parametre - Agendové IS'!D53</f>
        <v>0</v>
      </c>
      <c r="O4" s="44">
        <f>'Parametre - Agendové IS'!E53</f>
        <v>0</v>
      </c>
      <c r="P4" s="49">
        <f>IF(ISERR(O4-N4),"-",O4-N4)</f>
        <v>0</v>
      </c>
      <c r="Q4" s="46">
        <f>SUM(B4,E4)</f>
        <v>0</v>
      </c>
      <c r="R4" s="44">
        <f t="shared" ref="R4:R13" si="2">SUM(C4,F4)</f>
        <v>0</v>
      </c>
      <c r="S4" s="49">
        <f>R4-Q4</f>
        <v>0</v>
      </c>
      <c r="T4" s="46">
        <f>SUM(H4,K4,N4,Q4)</f>
        <v>108784.80000000002</v>
      </c>
      <c r="U4" s="44">
        <f>SUM(I4,L4,O4,R4)</f>
        <v>318960.70800000004</v>
      </c>
      <c r="V4" s="49">
        <f>U4-T4</f>
        <v>210175.90800000002</v>
      </c>
    </row>
    <row r="5" spans="1:22">
      <c r="A5" s="56" t="s">
        <v>30</v>
      </c>
      <c r="B5" s="46">
        <f>IF(ISERR('Parametre - Agendové IS'!D4*'Parametre - Agendové IS'!D14),"-",'Parametre - Agendové IS'!D4*'Parametre - Agendové IS'!D14)</f>
        <v>0</v>
      </c>
      <c r="C5" s="44">
        <f>IF(ISERR('Parametre - Agendové IS'!E4*'Parametre - Agendové IS'!E14),"-",'Parametre - Agendové IS'!E4*'Parametre - Agendové IS'!E14)</f>
        <v>0</v>
      </c>
      <c r="D5" s="49">
        <f t="shared" ref="D5:D13" si="3">IF(ISERR(C5-B5),"-",C5-B5)</f>
        <v>0</v>
      </c>
      <c r="E5" s="58"/>
      <c r="F5" s="51"/>
      <c r="G5" s="49">
        <f t="shared" si="0"/>
        <v>0</v>
      </c>
      <c r="H5" s="52">
        <v>0</v>
      </c>
      <c r="I5" s="44">
        <f>IF(ISERR(Faktory!$D$11*'Parametre - Agendové IS'!E4*('Parametre - Agendové IS'!D34-'Parametre - Agendové IS'!E34)),"-",Faktory!$D$11*'Parametre - Agendové IS'!E4*('Parametre - Agendové IS'!D34-'Parametre - Agendové IS'!E34))</f>
        <v>0</v>
      </c>
      <c r="J5" s="59">
        <f>IF(ISERR(I5-H5),"-",I5-H5)</f>
        <v>0</v>
      </c>
      <c r="K5" s="126">
        <f>'Spotrebované cloudové služby'!D4</f>
        <v>108784.80000000002</v>
      </c>
      <c r="L5" s="125">
        <f>'Spotrebované cloudové služby'!E4</f>
        <v>318960.70800000004</v>
      </c>
      <c r="M5" s="127">
        <f t="shared" si="1"/>
        <v>-210175.90800000002</v>
      </c>
      <c r="N5" s="46">
        <f>'Parametre - Agendové IS'!D54</f>
        <v>0</v>
      </c>
      <c r="O5" s="44">
        <f>'Parametre - Agendové IS'!E54</f>
        <v>0</v>
      </c>
      <c r="P5" s="49">
        <f t="shared" ref="P5:P13" si="4">IF(ISERR(O5-N5),"-",O5-N5)</f>
        <v>0</v>
      </c>
      <c r="Q5" s="46">
        <f t="shared" ref="Q5:Q13" si="5">SUM(B5,E5)</f>
        <v>0</v>
      </c>
      <c r="R5" s="44">
        <f t="shared" si="2"/>
        <v>0</v>
      </c>
      <c r="S5" s="49">
        <f t="shared" ref="S5:S13" si="6">R5-Q5</f>
        <v>0</v>
      </c>
      <c r="T5" s="46">
        <f t="shared" ref="T5:T13" si="7">SUM(H5,K5,N5,Q5)</f>
        <v>108784.80000000002</v>
      </c>
      <c r="U5" s="44">
        <f t="shared" ref="U5:U11" si="8">SUM(I5,L5,O5,R5)</f>
        <v>318960.70800000004</v>
      </c>
      <c r="V5" s="49">
        <f t="shared" ref="V5:V13" si="9">U5-T5</f>
        <v>210175.90800000002</v>
      </c>
    </row>
    <row r="6" spans="1:22">
      <c r="A6" s="56" t="s">
        <v>31</v>
      </c>
      <c r="B6" s="46">
        <f>IF(ISERR('Parametre - Agendové IS'!D5*'Parametre - Agendové IS'!D15),"-",'Parametre - Agendové IS'!D5*'Parametre - Agendové IS'!D15)</f>
        <v>0</v>
      </c>
      <c r="C6" s="44">
        <f>IF(ISERR('Parametre - Agendové IS'!E5*'Parametre - Agendové IS'!E15),"-",'Parametre - Agendové IS'!E5*'Parametre - Agendové IS'!E15)</f>
        <v>0</v>
      </c>
      <c r="D6" s="49">
        <f t="shared" si="3"/>
        <v>0</v>
      </c>
      <c r="E6" s="58"/>
      <c r="F6" s="51"/>
      <c r="G6" s="49">
        <f t="shared" si="0"/>
        <v>0</v>
      </c>
      <c r="H6" s="52">
        <v>0</v>
      </c>
      <c r="I6" s="44">
        <f>IF(ISERR(Faktory!$D$11*'Parametre - Agendové IS'!E5*('Parametre - Agendové IS'!D35-'Parametre - Agendové IS'!E35)),"-",Faktory!$D$11*'Parametre - Agendové IS'!E5*('Parametre - Agendové IS'!D35-'Parametre - Agendové IS'!E35))</f>
        <v>1932047.0457292688</v>
      </c>
      <c r="J6" s="49">
        <f t="shared" ref="J6:J13" si="10">IF(ISERR(I6-H6),"-",I6-H6)</f>
        <v>1932047.0457292688</v>
      </c>
      <c r="K6" s="126">
        <f>'Spotrebované cloudové služby'!D5</f>
        <v>108784.80000000002</v>
      </c>
      <c r="L6" s="125">
        <f>'Spotrebované cloudové služby'!E5</f>
        <v>318960.70800000004</v>
      </c>
      <c r="M6" s="127">
        <f t="shared" si="1"/>
        <v>-210175.90800000002</v>
      </c>
      <c r="N6" s="46">
        <f>'Parametre - Agendové IS'!D55</f>
        <v>0</v>
      </c>
      <c r="O6" s="44">
        <f>'Parametre - Agendové IS'!E55</f>
        <v>470000</v>
      </c>
      <c r="P6" s="49">
        <f t="shared" si="4"/>
        <v>470000</v>
      </c>
      <c r="Q6" s="46">
        <f t="shared" si="5"/>
        <v>0</v>
      </c>
      <c r="R6" s="44">
        <f>SUM(C6,F6)</f>
        <v>0</v>
      </c>
      <c r="S6" s="49">
        <f t="shared" si="6"/>
        <v>0</v>
      </c>
      <c r="T6" s="46">
        <f t="shared" si="7"/>
        <v>108784.80000000002</v>
      </c>
      <c r="U6" s="44">
        <f t="shared" si="8"/>
        <v>2721007.7537292689</v>
      </c>
      <c r="V6" s="49">
        <f t="shared" si="9"/>
        <v>2612222.9537292691</v>
      </c>
    </row>
    <row r="7" spans="1:22">
      <c r="A7" s="56" t="s">
        <v>32</v>
      </c>
      <c r="B7" s="46">
        <f>IF(ISERR('Parametre - Agendové IS'!D6*'Parametre - Agendové IS'!D16),"-",'Parametre - Agendové IS'!D6*'Parametre - Agendové IS'!D16)</f>
        <v>0</v>
      </c>
      <c r="C7" s="44">
        <f>IF(ISERR('Parametre - Agendové IS'!E6*'Parametre - Agendové IS'!E16),"-",'Parametre - Agendové IS'!E6*'Parametre - Agendové IS'!E16)</f>
        <v>0</v>
      </c>
      <c r="D7" s="49">
        <f>IF(ISERR(C7-B7),"-",C7-B7)</f>
        <v>0</v>
      </c>
      <c r="E7" s="58"/>
      <c r="F7" s="51"/>
      <c r="G7" s="49">
        <f t="shared" si="0"/>
        <v>0</v>
      </c>
      <c r="H7" s="52">
        <v>0</v>
      </c>
      <c r="I7" s="44">
        <f>IF(ISERR(Faktory!$D$11*'Parametre - Agendové IS'!E6*('Parametre - Agendové IS'!D36-'Parametre - Agendové IS'!E36)),"-",Faktory!$D$11*'Parametre - Agendové IS'!E6*('Parametre - Agendové IS'!D36-'Parametre - Agendové IS'!E36))</f>
        <v>5718859.2553586299</v>
      </c>
      <c r="J7" s="49">
        <f>IF(ISERR(I7-H7),"-",I7-H7)</f>
        <v>5718859.2553586299</v>
      </c>
      <c r="K7" s="126">
        <f>'Spotrebované cloudové služby'!D6</f>
        <v>108784.80000000002</v>
      </c>
      <c r="L7" s="125">
        <f>'Spotrebované cloudové služby'!E6</f>
        <v>318960.70800000004</v>
      </c>
      <c r="M7" s="127">
        <f t="shared" si="1"/>
        <v>-210175.90800000002</v>
      </c>
      <c r="N7" s="46">
        <f>'Parametre - Agendové IS'!D56</f>
        <v>0</v>
      </c>
      <c r="O7" s="44">
        <f>'Parametre - Agendové IS'!E56</f>
        <v>470000</v>
      </c>
      <c r="P7" s="49">
        <f t="shared" si="4"/>
        <v>470000</v>
      </c>
      <c r="Q7" s="46">
        <f>SUM(B7,E7)</f>
        <v>0</v>
      </c>
      <c r="R7" s="44">
        <f>SUM(C7,F7)</f>
        <v>0</v>
      </c>
      <c r="S7" s="49">
        <f t="shared" si="6"/>
        <v>0</v>
      </c>
      <c r="T7" s="46">
        <f t="shared" si="7"/>
        <v>108784.80000000002</v>
      </c>
      <c r="U7" s="44">
        <f>SUM(I7,L7,O7,R7)</f>
        <v>6507819.9633586295</v>
      </c>
      <c r="V7" s="49">
        <f t="shared" si="9"/>
        <v>6399035.1633586297</v>
      </c>
    </row>
    <row r="8" spans="1:22">
      <c r="A8" s="56" t="s">
        <v>33</v>
      </c>
      <c r="B8" s="46">
        <f>IF(ISERR('Parametre - Agendové IS'!D7*'Parametre - Agendové IS'!D17),"-",'Parametre - Agendové IS'!D7*'Parametre - Agendové IS'!D17)</f>
        <v>0</v>
      </c>
      <c r="C8" s="44">
        <f>IF(ISERR('Parametre - Agendové IS'!E7*'Parametre - Agendové IS'!E17),"-",'Parametre - Agendové IS'!E7*'Parametre - Agendové IS'!E17)</f>
        <v>0</v>
      </c>
      <c r="D8" s="49">
        <f t="shared" si="3"/>
        <v>0</v>
      </c>
      <c r="E8" s="58"/>
      <c r="F8" s="51"/>
      <c r="G8" s="49">
        <f t="shared" si="0"/>
        <v>0</v>
      </c>
      <c r="H8" s="52">
        <v>0</v>
      </c>
      <c r="I8" s="44">
        <f>IF(ISERR(Faktory!$D$11*'Parametre - Agendové IS'!E7*('Parametre - Agendové IS'!D37-'Parametre - Agendové IS'!E37)),"-",Faktory!$D$11*'Parametre - Agendové IS'!E7*('Parametre - Agendové IS'!D37-'Parametre - Agendové IS'!E37))</f>
        <v>9239821.7914956491</v>
      </c>
      <c r="J8" s="49">
        <f t="shared" si="10"/>
        <v>9239821.7914956491</v>
      </c>
      <c r="K8" s="126">
        <f>'Spotrebované cloudové služby'!D7</f>
        <v>108784.80000000002</v>
      </c>
      <c r="L8" s="125">
        <f>'Spotrebované cloudové služby'!E7</f>
        <v>318960.70800000004</v>
      </c>
      <c r="M8" s="127">
        <f t="shared" si="1"/>
        <v>-210175.90800000002</v>
      </c>
      <c r="N8" s="46">
        <f>'Parametre - Agendové IS'!D57</f>
        <v>0</v>
      </c>
      <c r="O8" s="44">
        <f>'Parametre - Agendové IS'!E57</f>
        <v>940000</v>
      </c>
      <c r="P8" s="49">
        <f t="shared" si="4"/>
        <v>940000</v>
      </c>
      <c r="Q8" s="46">
        <f t="shared" si="5"/>
        <v>0</v>
      </c>
      <c r="R8" s="44">
        <f>SUM(C8,F8)</f>
        <v>0</v>
      </c>
      <c r="S8" s="49">
        <f t="shared" si="6"/>
        <v>0</v>
      </c>
      <c r="T8" s="46">
        <f t="shared" si="7"/>
        <v>108784.80000000002</v>
      </c>
      <c r="U8" s="44">
        <f t="shared" si="8"/>
        <v>10498782.49949565</v>
      </c>
      <c r="V8" s="49">
        <f t="shared" si="9"/>
        <v>10389997.699495649</v>
      </c>
    </row>
    <row r="9" spans="1:22">
      <c r="A9" s="56" t="s">
        <v>34</v>
      </c>
      <c r="B9" s="46">
        <f>IF(ISERR('Parametre - Agendové IS'!D8*'Parametre - Agendové IS'!D18),"-",'Parametre - Agendové IS'!D8*'Parametre - Agendové IS'!D18)</f>
        <v>0</v>
      </c>
      <c r="C9" s="44">
        <f>IF(ISERR('Parametre - Agendové IS'!E8*'Parametre - Agendové IS'!E18),"-",'Parametre - Agendové IS'!E8*'Parametre - Agendové IS'!E18)</f>
        <v>0</v>
      </c>
      <c r="D9" s="49">
        <f t="shared" si="3"/>
        <v>0</v>
      </c>
      <c r="E9" s="58"/>
      <c r="F9" s="51"/>
      <c r="G9" s="49">
        <f t="shared" si="0"/>
        <v>0</v>
      </c>
      <c r="H9" s="52">
        <v>0</v>
      </c>
      <c r="I9" s="44">
        <f>IF(ISERR(Faktory!$D$11*'Parametre - Agendové IS'!E8*('Parametre - Agendové IS'!D38-'Parametre - Agendové IS'!E38)),"-",Faktory!$D$11*'Parametre - Agendové IS'!E8*('Parametre - Agendové IS'!D38-'Parametre - Agendové IS'!E38))</f>
        <v>14180854.362620037</v>
      </c>
      <c r="J9" s="49">
        <f t="shared" si="10"/>
        <v>14180854.362620037</v>
      </c>
      <c r="K9" s="126">
        <f>'Spotrebované cloudové služby'!D8</f>
        <v>108784.80000000002</v>
      </c>
      <c r="L9" s="125">
        <f>'Spotrebované cloudové služby'!E8</f>
        <v>318960.70800000004</v>
      </c>
      <c r="M9" s="127">
        <f t="shared" si="1"/>
        <v>-210175.90800000002</v>
      </c>
      <c r="N9" s="46">
        <f>'Parametre - Agendové IS'!D58</f>
        <v>0</v>
      </c>
      <c r="O9" s="44">
        <f>'Parametre - Agendové IS'!E58</f>
        <v>1880000</v>
      </c>
      <c r="P9" s="49">
        <f t="shared" si="4"/>
        <v>1880000</v>
      </c>
      <c r="Q9" s="46">
        <f t="shared" si="5"/>
        <v>0</v>
      </c>
      <c r="R9" s="44">
        <f t="shared" si="2"/>
        <v>0</v>
      </c>
      <c r="S9" s="49">
        <f t="shared" si="6"/>
        <v>0</v>
      </c>
      <c r="T9" s="46">
        <f t="shared" si="7"/>
        <v>108784.80000000002</v>
      </c>
      <c r="U9" s="44">
        <f t="shared" si="8"/>
        <v>16379815.070620038</v>
      </c>
      <c r="V9" s="49">
        <f t="shared" si="9"/>
        <v>16271030.270620037</v>
      </c>
    </row>
    <row r="10" spans="1:22">
      <c r="A10" s="56" t="s">
        <v>35</v>
      </c>
      <c r="B10" s="46">
        <f>IF(ISERR('Parametre - Agendové IS'!D9*'Parametre - Agendové IS'!D19),"-",'Parametre - Agendové IS'!D9*'Parametre - Agendové IS'!D19)</f>
        <v>0</v>
      </c>
      <c r="C10" s="44">
        <f>IF(ISERR('Parametre - Agendové IS'!E9*'Parametre - Agendové IS'!E19),"-",'Parametre - Agendové IS'!E9*'Parametre - Agendové IS'!E19)</f>
        <v>0</v>
      </c>
      <c r="D10" s="49">
        <f t="shared" si="3"/>
        <v>0</v>
      </c>
      <c r="E10" s="58"/>
      <c r="F10" s="51"/>
      <c r="G10" s="49">
        <f t="shared" si="0"/>
        <v>0</v>
      </c>
      <c r="H10" s="52">
        <v>0</v>
      </c>
      <c r="I10" s="44">
        <f>IF(ISERR(Faktory!$D$11*'Parametre - Agendové IS'!E9*('Parametre - Agendové IS'!D39-'Parametre - Agendové IS'!E39)),"-",Faktory!$D$11*'Parametre - Agendové IS'!E9*('Parametre - Agendové IS'!D39-'Parametre - Agendové IS'!E39))</f>
        <v>14257772.092222042</v>
      </c>
      <c r="J10" s="49">
        <f t="shared" si="10"/>
        <v>14257772.092222042</v>
      </c>
      <c r="K10" s="126">
        <f>'Spotrebované cloudové služby'!D9</f>
        <v>108784.80000000002</v>
      </c>
      <c r="L10" s="125">
        <f>'Spotrebované cloudové služby'!E9</f>
        <v>318960.70800000004</v>
      </c>
      <c r="M10" s="127">
        <f t="shared" si="1"/>
        <v>-210175.90800000002</v>
      </c>
      <c r="N10" s="46">
        <f>'Parametre - Agendové IS'!D59</f>
        <v>0</v>
      </c>
      <c r="O10" s="44">
        <f>'Parametre - Agendové IS'!E59</f>
        <v>2350000</v>
      </c>
      <c r="P10" s="49">
        <f t="shared" si="4"/>
        <v>2350000</v>
      </c>
      <c r="Q10" s="46">
        <f t="shared" si="5"/>
        <v>0</v>
      </c>
      <c r="R10" s="44">
        <f t="shared" si="2"/>
        <v>0</v>
      </c>
      <c r="S10" s="49">
        <f t="shared" si="6"/>
        <v>0</v>
      </c>
      <c r="T10" s="46">
        <f t="shared" si="7"/>
        <v>108784.80000000002</v>
      </c>
      <c r="U10" s="44">
        <f t="shared" si="8"/>
        <v>16926732.800222043</v>
      </c>
      <c r="V10" s="49">
        <f t="shared" si="9"/>
        <v>16817948.000222042</v>
      </c>
    </row>
    <row r="11" spans="1:22">
      <c r="A11" s="56" t="s">
        <v>36</v>
      </c>
      <c r="B11" s="46">
        <f>IF(ISERR('Parametre - Agendové IS'!D10*'Parametre - Agendové IS'!D20),"-",'Parametre - Agendové IS'!D10*'Parametre - Agendové IS'!D20)</f>
        <v>0</v>
      </c>
      <c r="C11" s="44">
        <f>IF(ISERR('Parametre - Agendové IS'!E10*'Parametre - Agendové IS'!E20),"-",'Parametre - Agendové IS'!E10*'Parametre - Agendové IS'!E20)</f>
        <v>0</v>
      </c>
      <c r="D11" s="49">
        <f t="shared" si="3"/>
        <v>0</v>
      </c>
      <c r="E11" s="58"/>
      <c r="F11" s="51"/>
      <c r="G11" s="49">
        <f t="shared" si="0"/>
        <v>0</v>
      </c>
      <c r="H11" s="52">
        <v>0</v>
      </c>
      <c r="I11" s="44">
        <f>IF(ISERR(Faktory!$D$11*'Parametre - Agendové IS'!E10*('Parametre - Agendové IS'!D40-'Parametre - Agendové IS'!E40)),"-",Faktory!$D$11*'Parametre - Agendové IS'!E10*('Parametre - Agendové IS'!D40-'Parametre - Agendové IS'!E40))</f>
        <v>15450222.292115616</v>
      </c>
      <c r="J11" s="49">
        <f t="shared" si="10"/>
        <v>15450222.292115616</v>
      </c>
      <c r="K11" s="126">
        <f>'Spotrebované cloudové služby'!D10</f>
        <v>108784.80000000002</v>
      </c>
      <c r="L11" s="125">
        <f>'Spotrebované cloudové služby'!E10</f>
        <v>318960.70800000004</v>
      </c>
      <c r="M11" s="127">
        <f t="shared" si="1"/>
        <v>-210175.90800000002</v>
      </c>
      <c r="N11" s="46">
        <f>'Parametre - Agendové IS'!D60</f>
        <v>0</v>
      </c>
      <c r="O11" s="44">
        <f>'Parametre - Agendové IS'!E60</f>
        <v>1880000</v>
      </c>
      <c r="P11" s="49">
        <f t="shared" si="4"/>
        <v>1880000</v>
      </c>
      <c r="Q11" s="46">
        <f t="shared" si="5"/>
        <v>0</v>
      </c>
      <c r="R11" s="44">
        <f t="shared" si="2"/>
        <v>0</v>
      </c>
      <c r="S11" s="49">
        <f t="shared" si="6"/>
        <v>0</v>
      </c>
      <c r="T11" s="46">
        <f t="shared" si="7"/>
        <v>108784.80000000002</v>
      </c>
      <c r="U11" s="44">
        <f t="shared" si="8"/>
        <v>17649183.000115618</v>
      </c>
      <c r="V11" s="49">
        <f t="shared" si="9"/>
        <v>17540398.200115617</v>
      </c>
    </row>
    <row r="12" spans="1:22">
      <c r="A12" s="56" t="s">
        <v>37</v>
      </c>
      <c r="B12" s="46">
        <f>IF(ISERR('Parametre - Agendové IS'!D11*'Parametre - Agendové IS'!D21),"-",'Parametre - Agendové IS'!D11*'Parametre - Agendové IS'!D21)</f>
        <v>0</v>
      </c>
      <c r="C12" s="44">
        <f>IF(ISERR('Parametre - Agendové IS'!E11*'Parametre - Agendové IS'!E21),"-",'Parametre - Agendové IS'!E11*'Parametre - Agendové IS'!E21)</f>
        <v>0</v>
      </c>
      <c r="D12" s="49">
        <f t="shared" si="3"/>
        <v>0</v>
      </c>
      <c r="E12" s="58"/>
      <c r="F12" s="51"/>
      <c r="G12" s="49">
        <f t="shared" si="0"/>
        <v>0</v>
      </c>
      <c r="H12" s="52">
        <v>0</v>
      </c>
      <c r="I12" s="44">
        <f>IF(ISERR(Faktory!$D$11*'Parametre - Agendové IS'!E11*('Parametre - Agendové IS'!D41-'Parametre - Agendové IS'!E41)),"-",Faktory!$D$11*'Parametre - Agendové IS'!E11*('Parametre - Agendové IS'!D41-'Parametre - Agendové IS'!E41))</f>
        <v>16559719.262341814</v>
      </c>
      <c r="J12" s="49">
        <f t="shared" si="10"/>
        <v>16559719.262341814</v>
      </c>
      <c r="K12" s="126">
        <f>'Spotrebované cloudové služby'!D11</f>
        <v>108784.80000000002</v>
      </c>
      <c r="L12" s="125">
        <f>'Spotrebované cloudové služby'!E11</f>
        <v>318960.70800000004</v>
      </c>
      <c r="M12" s="127">
        <f t="shared" si="1"/>
        <v>-210175.90800000002</v>
      </c>
      <c r="N12" s="46">
        <f>'Parametre - Agendové IS'!D61</f>
        <v>0</v>
      </c>
      <c r="O12" s="44">
        <f>'Parametre - Agendové IS'!E61</f>
        <v>1410000</v>
      </c>
      <c r="P12" s="49">
        <f t="shared" si="4"/>
        <v>1410000</v>
      </c>
      <c r="Q12" s="46">
        <f t="shared" si="5"/>
        <v>0</v>
      </c>
      <c r="R12" s="44">
        <f t="shared" si="2"/>
        <v>0</v>
      </c>
      <c r="S12" s="49">
        <f t="shared" si="6"/>
        <v>0</v>
      </c>
      <c r="T12" s="46">
        <f t="shared" si="7"/>
        <v>108784.80000000002</v>
      </c>
      <c r="U12" s="44">
        <f t="shared" ref="U12:U13" si="11">SUM(I12,L12,O12,R12)</f>
        <v>18288679.970341813</v>
      </c>
      <c r="V12" s="49">
        <f t="shared" si="9"/>
        <v>18179895.170341812</v>
      </c>
    </row>
    <row r="13" spans="1:22" ht="15.6" customHeight="1" thickBot="1">
      <c r="A13" s="57" t="s">
        <v>38</v>
      </c>
      <c r="B13" s="46">
        <f>IF(ISERR('Parametre - Agendové IS'!D12*'Parametre - Agendové IS'!D22),"-",'Parametre - Agendové IS'!D12*'Parametre - Agendové IS'!D22)</f>
        <v>0</v>
      </c>
      <c r="C13" s="44">
        <f>IF(ISERR('Parametre - Agendové IS'!E12*'Parametre - Agendové IS'!E22),"-",'Parametre - Agendové IS'!E12*'Parametre - Agendové IS'!E22)</f>
        <v>0</v>
      </c>
      <c r="D13" s="49">
        <f t="shared" si="3"/>
        <v>0</v>
      </c>
      <c r="E13" s="58"/>
      <c r="F13" s="51"/>
      <c r="G13" s="49">
        <f t="shared" si="0"/>
        <v>0</v>
      </c>
      <c r="H13" s="53">
        <v>0</v>
      </c>
      <c r="I13" s="44">
        <f>IF(ISERR(Faktory!$D$11*'Parametre - Agendové IS'!E12*('Parametre - Agendové IS'!D42-'Parametre - Agendové IS'!E42)),"-",Faktory!$D$11*'Parametre - Agendové IS'!E12*('Parametre - Agendové IS'!D42-'Parametre - Agendové IS'!E42))</f>
        <v>13448262.101600697</v>
      </c>
      <c r="J13" s="49">
        <f t="shared" si="10"/>
        <v>13448262.101600697</v>
      </c>
      <c r="K13" s="126">
        <f>'Spotrebované cloudové služby'!D12</f>
        <v>108784.80000000002</v>
      </c>
      <c r="L13" s="125">
        <f>'Spotrebované cloudové služby'!E12</f>
        <v>318960.70800000004</v>
      </c>
      <c r="M13" s="127">
        <f t="shared" si="1"/>
        <v>-210175.90800000002</v>
      </c>
      <c r="N13" s="46">
        <f>'Parametre - Agendové IS'!D62</f>
        <v>0</v>
      </c>
      <c r="O13" s="44">
        <f>'Parametre - Agendové IS'!E62</f>
        <v>940000</v>
      </c>
      <c r="P13" s="49">
        <f t="shared" si="4"/>
        <v>940000</v>
      </c>
      <c r="Q13" s="61">
        <f t="shared" si="5"/>
        <v>0</v>
      </c>
      <c r="R13" s="62">
        <f t="shared" si="2"/>
        <v>0</v>
      </c>
      <c r="S13" s="63">
        <f t="shared" si="6"/>
        <v>0</v>
      </c>
      <c r="T13" s="61">
        <f t="shared" si="7"/>
        <v>108784.80000000002</v>
      </c>
      <c r="U13" s="62">
        <f t="shared" si="11"/>
        <v>14707222.809600698</v>
      </c>
      <c r="V13" s="63">
        <f t="shared" si="9"/>
        <v>14598438.009600697</v>
      </c>
    </row>
    <row r="14" spans="1:22" ht="15.75" thickBot="1">
      <c r="A14" s="12"/>
      <c r="B14" s="12"/>
      <c r="C14" s="12"/>
      <c r="D14" s="12"/>
      <c r="E14" s="12"/>
      <c r="F14" s="12"/>
      <c r="G14" s="12"/>
      <c r="H14" s="12"/>
      <c r="I14" s="12"/>
      <c r="J14" s="12"/>
      <c r="K14" s="113"/>
      <c r="L14" s="113"/>
      <c r="M14" s="113"/>
      <c r="N14" s="12"/>
      <c r="O14" s="12"/>
      <c r="P14" s="60" t="s">
        <v>39</v>
      </c>
      <c r="Q14" s="65">
        <f t="shared" ref="Q14:V14" si="12">SUM(Q4:Q13)</f>
        <v>0</v>
      </c>
      <c r="R14" s="66">
        <f t="shared" si="12"/>
        <v>0</v>
      </c>
      <c r="S14" s="67">
        <f t="shared" si="12"/>
        <v>0</v>
      </c>
      <c r="T14" s="65">
        <f t="shared" si="12"/>
        <v>1087848.0000000002</v>
      </c>
      <c r="U14" s="66">
        <f t="shared" si="12"/>
        <v>104317165.28348376</v>
      </c>
      <c r="V14" s="67">
        <f t="shared" si="12"/>
        <v>103229317.28348374</v>
      </c>
    </row>
  </sheetData>
  <mergeCells count="10">
    <mergeCell ref="B1:D1"/>
    <mergeCell ref="E1:P1"/>
    <mergeCell ref="Q1:V1"/>
    <mergeCell ref="B2:D2"/>
    <mergeCell ref="E2:G2"/>
    <mergeCell ref="H2:J2"/>
    <mergeCell ref="N2:P2"/>
    <mergeCell ref="Q2:S2"/>
    <mergeCell ref="T2:V2"/>
    <mergeCell ref="K2:M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C1" zoomScale="85" zoomScaleNormal="85" zoomScalePageLayoutView="85" workbookViewId="0">
      <selection activeCell="P4" sqref="P4:P13"/>
    </sheetView>
  </sheetViews>
  <sheetFormatPr defaultColWidth="8.85546875" defaultRowHeight="15"/>
  <cols>
    <col min="2" max="8" width="12.28515625" customWidth="1"/>
    <col min="9" max="12" width="12.7109375" bestFit="1" customWidth="1"/>
    <col min="13" max="13" width="12.28515625" customWidth="1"/>
    <col min="14" max="14" width="15.42578125" customWidth="1"/>
    <col min="15" max="15" width="13.85546875" bestFit="1" customWidth="1"/>
    <col min="16" max="16" width="13.5703125" bestFit="1" customWidth="1"/>
    <col min="17" max="18" width="15.42578125" bestFit="1" customWidth="1"/>
    <col min="19" max="19" width="13.5703125" bestFit="1" customWidth="1"/>
  </cols>
  <sheetData>
    <row r="1" spans="1:19" ht="15.75" thickBot="1">
      <c r="A1" s="86"/>
      <c r="B1" s="413" t="s">
        <v>84</v>
      </c>
      <c r="C1" s="413"/>
      <c r="D1" s="413"/>
      <c r="E1" s="413"/>
      <c r="F1" s="413"/>
      <c r="G1" s="413"/>
      <c r="H1" s="413"/>
      <c r="I1" s="413"/>
      <c r="J1" s="414"/>
      <c r="K1" s="413" t="s">
        <v>85</v>
      </c>
      <c r="L1" s="413"/>
      <c r="M1" s="413"/>
      <c r="N1" s="413"/>
      <c r="O1" s="413"/>
      <c r="P1" s="414"/>
      <c r="Q1" s="413" t="s">
        <v>86</v>
      </c>
      <c r="R1" s="413"/>
      <c r="S1" s="414"/>
    </row>
    <row r="2" spans="1:19" ht="15.75" thickBot="1">
      <c r="A2" s="13"/>
      <c r="B2" s="397" t="s">
        <v>79</v>
      </c>
      <c r="C2" s="398"/>
      <c r="D2" s="398"/>
      <c r="E2" s="398" t="s">
        <v>80</v>
      </c>
      <c r="F2" s="398"/>
      <c r="G2" s="399"/>
      <c r="H2" s="398" t="s">
        <v>81</v>
      </c>
      <c r="I2" s="398"/>
      <c r="J2" s="399"/>
      <c r="K2" s="398" t="s">
        <v>82</v>
      </c>
      <c r="L2" s="398"/>
      <c r="M2" s="399"/>
      <c r="N2" s="398" t="s">
        <v>83</v>
      </c>
      <c r="O2" s="398"/>
      <c r="P2" s="399"/>
      <c r="Q2" s="13"/>
      <c r="R2" s="13"/>
      <c r="S2" s="87"/>
    </row>
    <row r="3" spans="1:19" ht="19.350000000000001" customHeight="1" thickBot="1">
      <c r="A3" s="89" t="s">
        <v>25</v>
      </c>
      <c r="B3" s="90" t="s">
        <v>26</v>
      </c>
      <c r="C3" s="90" t="s">
        <v>27</v>
      </c>
      <c r="D3" s="91" t="s">
        <v>28</v>
      </c>
      <c r="E3" s="90" t="s">
        <v>26</v>
      </c>
      <c r="F3" s="90" t="s">
        <v>27</v>
      </c>
      <c r="G3" s="91" t="s">
        <v>28</v>
      </c>
      <c r="H3" s="90" t="s">
        <v>26</v>
      </c>
      <c r="I3" s="90" t="s">
        <v>27</v>
      </c>
      <c r="J3" s="91" t="s">
        <v>28</v>
      </c>
      <c r="K3" s="90" t="s">
        <v>26</v>
      </c>
      <c r="L3" s="90" t="s">
        <v>27</v>
      </c>
      <c r="M3" s="91" t="s">
        <v>28</v>
      </c>
      <c r="N3" s="90" t="s">
        <v>26</v>
      </c>
      <c r="O3" s="90" t="s">
        <v>27</v>
      </c>
      <c r="P3" s="91" t="s">
        <v>28</v>
      </c>
      <c r="Q3" s="90" t="s">
        <v>26</v>
      </c>
      <c r="R3" s="90" t="s">
        <v>27</v>
      </c>
      <c r="S3" s="91" t="s">
        <v>28</v>
      </c>
    </row>
    <row r="4" spans="1:19">
      <c r="A4" s="43" t="s">
        <v>29</v>
      </c>
      <c r="B4" s="44">
        <f>TCO!D$21</f>
        <v>0</v>
      </c>
      <c r="C4" s="44">
        <f>TCO!D$11+TCO!D$12</f>
        <v>0</v>
      </c>
      <c r="D4" s="96">
        <f>C4-B4</f>
        <v>0</v>
      </c>
      <c r="E4" s="44">
        <f>TCO!D$20</f>
        <v>278000</v>
      </c>
      <c r="F4" s="44">
        <f>TCO!D$7+TCO!D$8</f>
        <v>2200000</v>
      </c>
      <c r="G4" s="96">
        <f>F4-E4</f>
        <v>1922000</v>
      </c>
      <c r="H4" s="44">
        <f>TCO!D$24-(TCO!D$20+TCO!D$21)</f>
        <v>144000</v>
      </c>
      <c r="I4" s="44">
        <f>TCO!D$9+TCO!D$10</f>
        <v>3805000</v>
      </c>
      <c r="J4" s="96">
        <f>I4-H4</f>
        <v>3661000</v>
      </c>
      <c r="K4" s="46">
        <f>IF(ISERR(Faktory!$D$9*'Parametre - Agendové IS'!D3),"-",Faktory!$D$9*'Parametre - Agendové IS'!D3)</f>
        <v>56707053.456</v>
      </c>
      <c r="L4" s="44">
        <f>IF(ISERR(Faktory!$D$9*'Parametre - Agendové IS'!E3),"-",Faktory!$D$9*'Parametre - Agendové IS'!E3)</f>
        <v>56707053.456</v>
      </c>
      <c r="M4" s="44">
        <f>IF(ISERR(L4-K4),"-",L4-K4)</f>
        <v>0</v>
      </c>
      <c r="N4" s="44">
        <f>IF(ISERR(Faktory!$D$7*'Parametre - Agendové IS'!D3*'Parametre - Agendové IS'!D23*'Parametre - Agendové IS'!D43),"-",Faktory!$D$7*'Parametre - Agendové IS'!D3*'Parametre - Agendové IS'!D23*'Parametre - Agendové IS'!D43)</f>
        <v>147107016.87552002</v>
      </c>
      <c r="O4" s="44">
        <f>IF(ISERR(Faktory!$D$7*'Parametre - Agendové IS'!E3*'Parametre - Agendové IS'!E23*'Parametre - Agendové IS'!E43),"-",Faktory!$D$7*'Parametre - Agendové IS'!E3*'Parametre - Agendové IS'!E23*'Parametre - Agendové IS'!E43)</f>
        <v>147107016.87552002</v>
      </c>
      <c r="P4" s="44">
        <f>IF(ISERR(O4-N4),"-",O4-N4)</f>
        <v>0</v>
      </c>
      <c r="Q4" s="44">
        <f>SUM(B4,E4,H4,K4,N4)</f>
        <v>204236070.33152002</v>
      </c>
      <c r="R4" s="44">
        <f>SUM(C4,F4,I4,L4,O4)</f>
        <v>209819070.33152002</v>
      </c>
      <c r="S4" s="44">
        <f>R4-Q4</f>
        <v>5583000</v>
      </c>
    </row>
    <row r="5" spans="1:19">
      <c r="A5" s="43" t="s">
        <v>30</v>
      </c>
      <c r="B5" s="44">
        <f>TCO!E$21</f>
        <v>0</v>
      </c>
      <c r="C5" s="44">
        <f>TCO!E$11+TCO!E$12</f>
        <v>0</v>
      </c>
      <c r="D5" s="97">
        <f t="shared" ref="D5:D13" si="0">C5-B5</f>
        <v>0</v>
      </c>
      <c r="E5" s="44">
        <f>TCO!E$20</f>
        <v>362000</v>
      </c>
      <c r="F5" s="44">
        <f>TCO!E$7+TCO!E$8</f>
        <v>0</v>
      </c>
      <c r="G5" s="97">
        <f t="shared" ref="G5:G13" si="1">F5-E5</f>
        <v>-362000</v>
      </c>
      <c r="H5" s="44">
        <f>TCO!E$24-(TCO!E$20+TCO!E$21)</f>
        <v>144000</v>
      </c>
      <c r="I5" s="44">
        <f>TCO!E$9+TCO!E$10</f>
        <v>5020000</v>
      </c>
      <c r="J5" s="97">
        <f t="shared" ref="J5:J13" si="2">I5-H5</f>
        <v>4876000</v>
      </c>
      <c r="K5" s="46">
        <f>IF(ISERR(Faktory!$D$9*'Parametre - Agendové IS'!D4),"-",Faktory!$D$9*'Parametre - Agendové IS'!D4)</f>
        <v>56707053.456</v>
      </c>
      <c r="L5" s="44">
        <f>IF(ISERR(Faktory!$D$9*'Parametre - Agendové IS'!E4),"-",Faktory!$D$9*'Parametre - Agendové IS'!E4)</f>
        <v>56707053.456</v>
      </c>
      <c r="M5" s="44">
        <f>IF(ISERR(L5-K5),"-",L5-K5)</f>
        <v>0</v>
      </c>
      <c r="N5" s="44">
        <f>IF(ISERR(Faktory!$D$7*'Parametre - Agendové IS'!D4*'Parametre - Agendové IS'!D24*'Parametre - Agendové IS'!D44),"-",Faktory!$D$7*'Parametre - Agendové IS'!D4*'Parametre - Agendové IS'!D24*'Parametre - Agendové IS'!D44)</f>
        <v>147107016.87552002</v>
      </c>
      <c r="O5" s="44">
        <f>IF(ISERR(Faktory!$D$7*'Parametre - Agendové IS'!E4*'Parametre - Agendové IS'!E24*'Parametre - Agendové IS'!E44),"-",Faktory!$D$7*'Parametre - Agendové IS'!E4*'Parametre - Agendové IS'!E24*'Parametre - Agendové IS'!E44)</f>
        <v>147107016.87552002</v>
      </c>
      <c r="P5" s="44">
        <f>IF(ISERR(O5-N5),"-",O5-N5)</f>
        <v>0</v>
      </c>
      <c r="Q5" s="44">
        <f t="shared" ref="Q5:R13" si="3">SUM(B5,E5,H5,K5,N5)</f>
        <v>204320070.33152002</v>
      </c>
      <c r="R5" s="44">
        <f t="shared" si="3"/>
        <v>208834070.33152002</v>
      </c>
      <c r="S5" s="44">
        <f t="shared" ref="S5:S13" si="4">R5-Q5</f>
        <v>4514000</v>
      </c>
    </row>
    <row r="6" spans="1:19">
      <c r="A6" s="43" t="s">
        <v>31</v>
      </c>
      <c r="B6" s="44">
        <f>TCO!F$21</f>
        <v>0</v>
      </c>
      <c r="C6" s="44">
        <f>TCO!F$11+TCO!F$12</f>
        <v>0</v>
      </c>
      <c r="D6" s="97">
        <f t="shared" si="0"/>
        <v>0</v>
      </c>
      <c r="E6" s="44">
        <f>TCO!F$20</f>
        <v>434000</v>
      </c>
      <c r="F6" s="44">
        <f>TCO!F$7+TCO!F$8</f>
        <v>0</v>
      </c>
      <c r="G6" s="97">
        <f t="shared" si="1"/>
        <v>-434000</v>
      </c>
      <c r="H6" s="44">
        <f>TCO!F$24-(TCO!F$20+TCO!F$21)</f>
        <v>144000</v>
      </c>
      <c r="I6" s="44">
        <f>TCO!F$9+TCO!F$10</f>
        <v>5282500</v>
      </c>
      <c r="J6" s="97">
        <f t="shared" si="2"/>
        <v>5138500</v>
      </c>
      <c r="K6" s="46">
        <f>IF(ISERR(Faktory!$D$9*'Parametre - Agendové IS'!D5),"-",Faktory!$D$9*'Parametre - Agendové IS'!D5)</f>
        <v>56707053.456</v>
      </c>
      <c r="L6" s="44">
        <f>IF(ISERR(Faktory!$D$9*'Parametre - Agendové IS'!E5),"-",Faktory!$D$9*'Parametre - Agendové IS'!E5)</f>
        <v>56707053.456</v>
      </c>
      <c r="M6" s="44">
        <f>IF(ISERR(L6-K6),"-",L6-K6)</f>
        <v>0</v>
      </c>
      <c r="N6" s="44">
        <f>IF(ISERR(Faktory!$D$7*'Parametre - Agendové IS'!D5*'Parametre - Agendové IS'!D25*'Parametre - Agendové IS'!D45),"-",Faktory!$D$7*'Parametre - Agendové IS'!D5*'Parametre - Agendové IS'!D25*'Parametre - Agendové IS'!D45)</f>
        <v>147107016.87552002</v>
      </c>
      <c r="O6" s="44">
        <f>IF(ISERR(Faktory!$D$7*'Parametre - Agendové IS'!E5*'Parametre - Agendové IS'!E25*'Parametre - Agendové IS'!E45),"-",Faktory!$D$7*'Parametre - Agendové IS'!E5*'Parametre - Agendové IS'!E25*'Parametre - Agendové IS'!E45)</f>
        <v>147107016.87552002</v>
      </c>
      <c r="P6" s="44">
        <f>IF(ISERR(O6-N6),"-",O6-N6)</f>
        <v>0</v>
      </c>
      <c r="Q6" s="44">
        <f t="shared" si="3"/>
        <v>204392070.33152002</v>
      </c>
      <c r="R6" s="44">
        <f t="shared" si="3"/>
        <v>209096570.33152002</v>
      </c>
      <c r="S6" s="44">
        <f t="shared" si="4"/>
        <v>4704500</v>
      </c>
    </row>
    <row r="7" spans="1:19">
      <c r="A7" s="43" t="s">
        <v>32</v>
      </c>
      <c r="B7" s="44">
        <f>TCO!G$21</f>
        <v>0</v>
      </c>
      <c r="C7" s="44">
        <f>TCO!G$11+TCO!G$12</f>
        <v>0</v>
      </c>
      <c r="D7" s="97">
        <f t="shared" si="0"/>
        <v>0</v>
      </c>
      <c r="E7" s="44">
        <f>TCO!G$20</f>
        <v>434000</v>
      </c>
      <c r="F7" s="44">
        <f>TCO!G$7+TCO!G$8</f>
        <v>0</v>
      </c>
      <c r="G7" s="97">
        <f t="shared" si="1"/>
        <v>-434000</v>
      </c>
      <c r="H7" s="44">
        <f>TCO!G$24-(TCO!G$20+TCO!G$21)</f>
        <v>144000</v>
      </c>
      <c r="I7" s="44">
        <f>TCO!G$9+TCO!G$10</f>
        <v>5282500</v>
      </c>
      <c r="J7" s="97">
        <f t="shared" si="2"/>
        <v>5138500</v>
      </c>
      <c r="K7" s="46">
        <f>IF(ISERR(Faktory!$D$9*'Parametre - Agendové IS'!D6),"-",Faktory!$D$9*'Parametre - Agendové IS'!D6)</f>
        <v>56707053.456</v>
      </c>
      <c r="L7" s="44">
        <f>IF(ISERR(Faktory!$D$9*'Parametre - Agendové IS'!E6),"-",Faktory!$D$9*'Parametre - Agendové IS'!E6)</f>
        <v>56707053.456</v>
      </c>
      <c r="M7" s="44">
        <f>IF(ISERR(L7-K7),"-",L7-K7)</f>
        <v>0</v>
      </c>
      <c r="N7" s="44">
        <f>IF(ISERR(Faktory!$D$7*'Parametre - Agendové IS'!D6*'Parametre - Agendové IS'!D26*'Parametre - Agendové IS'!D46),"-",Faktory!$D$7*'Parametre - Agendové IS'!D6*'Parametre - Agendové IS'!D26*'Parametre - Agendové IS'!D46)</f>
        <v>147107016.87552002</v>
      </c>
      <c r="O7" s="44">
        <f>IF(ISERR(Faktory!$D$7*'Parametre - Agendové IS'!E6*'Parametre - Agendové IS'!E26*'Parametre - Agendové IS'!E46),"-",Faktory!$D$7*'Parametre - Agendové IS'!E6*'Parametre - Agendové IS'!E26*'Parametre - Agendové IS'!E46)</f>
        <v>147107016.87552002</v>
      </c>
      <c r="P7" s="44">
        <f>IF(ISERR(O7-N7),"-",O7-N7)</f>
        <v>0</v>
      </c>
      <c r="Q7" s="44">
        <f t="shared" si="3"/>
        <v>204392070.33152002</v>
      </c>
      <c r="R7" s="44">
        <f t="shared" si="3"/>
        <v>209096570.33152002</v>
      </c>
      <c r="S7" s="44">
        <f t="shared" si="4"/>
        <v>4704500</v>
      </c>
    </row>
    <row r="8" spans="1:19">
      <c r="A8" s="43" t="s">
        <v>33</v>
      </c>
      <c r="B8" s="44">
        <f>TCO!H$21</f>
        <v>0</v>
      </c>
      <c r="C8" s="44">
        <f>TCO!H$11+TCO!H$12</f>
        <v>0</v>
      </c>
      <c r="D8" s="97">
        <f t="shared" si="0"/>
        <v>0</v>
      </c>
      <c r="E8" s="44">
        <f>TCO!H$20</f>
        <v>434000</v>
      </c>
      <c r="F8" s="44">
        <f>TCO!H$7+TCO!H$8</f>
        <v>250000</v>
      </c>
      <c r="G8" s="97">
        <f t="shared" si="1"/>
        <v>-184000</v>
      </c>
      <c r="H8" s="44">
        <f>TCO!H$24-(TCO!H$20+TCO!H$21)</f>
        <v>144000</v>
      </c>
      <c r="I8" s="44">
        <f>TCO!H$9+TCO!H$10</f>
        <v>2120000</v>
      </c>
      <c r="J8" s="97">
        <f t="shared" si="2"/>
        <v>1976000</v>
      </c>
      <c r="K8" s="46">
        <f>IF(ISERR(Faktory!$D$9*'Parametre - Agendové IS'!D7),"-",Faktory!$D$9*'Parametre - Agendové IS'!D7)</f>
        <v>56707053.456</v>
      </c>
      <c r="L8" s="44">
        <f>IF(ISERR(Faktory!$D$9*'Parametre - Agendové IS'!E7),"-",Faktory!$D$9*'Parametre - Agendové IS'!E7)</f>
        <v>56707053.456</v>
      </c>
      <c r="M8" s="44">
        <f>IF(ISERR(L8-K8),"-",L8-K8)</f>
        <v>0</v>
      </c>
      <c r="N8" s="44">
        <f>IF(ISERR(Faktory!$D$7*'Parametre - Agendové IS'!D7*'Parametre - Agendové IS'!D27*'Parametre - Agendové IS'!D47),"-",Faktory!$D$7*'Parametre - Agendové IS'!D7*'Parametre - Agendové IS'!D27*'Parametre - Agendové IS'!D47)</f>
        <v>147107016.87552002</v>
      </c>
      <c r="O8" s="44">
        <f>IF(ISERR(Faktory!$D$7*'Parametre - Agendové IS'!E7*'Parametre - Agendové IS'!E27*'Parametre - Agendové IS'!E47),"-",Faktory!$D$7*'Parametre - Agendové IS'!E7*'Parametre - Agendové IS'!E27*'Parametre - Agendové IS'!E47)</f>
        <v>144164876.53800961</v>
      </c>
      <c r="P8" s="44">
        <f>IF(ISERR(O8-N8),"-",O8-N8)</f>
        <v>-2942140.337510407</v>
      </c>
      <c r="Q8" s="44">
        <f t="shared" si="3"/>
        <v>204392070.33152002</v>
      </c>
      <c r="R8" s="44">
        <f t="shared" si="3"/>
        <v>203241929.99400961</v>
      </c>
      <c r="S8" s="44">
        <f t="shared" si="4"/>
        <v>-1150140.337510407</v>
      </c>
    </row>
    <row r="9" spans="1:19">
      <c r="A9" s="43" t="s">
        <v>34</v>
      </c>
      <c r="B9" s="44">
        <f>TCO!I$21</f>
        <v>0</v>
      </c>
      <c r="C9" s="44">
        <f>TCO!I$11+TCO!I$12</f>
        <v>0</v>
      </c>
      <c r="D9" s="97">
        <f t="shared" si="0"/>
        <v>0</v>
      </c>
      <c r="E9" s="44">
        <f>TCO!I$20</f>
        <v>434000</v>
      </c>
      <c r="F9" s="44">
        <f>TCO!I$7+TCO!I$8</f>
        <v>250000</v>
      </c>
      <c r="G9" s="97">
        <f t="shared" si="1"/>
        <v>-184000</v>
      </c>
      <c r="H9" s="44">
        <f>TCO!I$24-(TCO!I$20+TCO!I$21)</f>
        <v>144000</v>
      </c>
      <c r="I9" s="44">
        <f>TCO!I$9+TCO!I$10</f>
        <v>2120000</v>
      </c>
      <c r="J9" s="97">
        <f t="shared" si="2"/>
        <v>1976000</v>
      </c>
      <c r="K9" s="46">
        <f>IF(ISERR(Faktory!$D$9*'Parametre - Agendové IS'!D8),"-",Faktory!$D$9*'Parametre - Agendové IS'!D8)</f>
        <v>56707053.456</v>
      </c>
      <c r="L9" s="44">
        <f>IF(ISERR(Faktory!$D$9*'Parametre - Agendové IS'!E8),"-",Faktory!$D$9*'Parametre - Agendové IS'!E8)</f>
        <v>56707053.456</v>
      </c>
      <c r="M9" s="44">
        <f t="shared" ref="M9:M13" si="5">IF(ISERR(L9-K9),"-",L9-K9)</f>
        <v>0</v>
      </c>
      <c r="N9" s="44">
        <f>IF(ISERR(Faktory!$D$7*'Parametre - Agendové IS'!D8*'Parametre - Agendové IS'!D28*'Parametre - Agendové IS'!D48),"-",Faktory!$D$7*'Parametre - Agendové IS'!D8*'Parametre - Agendové IS'!D28*'Parametre - Agendové IS'!D48)</f>
        <v>147107016.87552002</v>
      </c>
      <c r="O9" s="44">
        <f>IF(ISERR(Faktory!$D$7*'Parametre - Agendové IS'!E8*'Parametre - Agendové IS'!E28*'Parametre - Agendové IS'!E48),"-",Faktory!$D$7*'Parametre - Agendové IS'!E8*'Parametre - Agendové IS'!E28*'Parametre - Agendové IS'!E48)</f>
        <v>141281579.00724941</v>
      </c>
      <c r="P9" s="44">
        <f t="shared" ref="P9:P13" si="6">IF(ISERR(O9-N9),"-",O9-N9)</f>
        <v>-5825437.8682706058</v>
      </c>
      <c r="Q9" s="44">
        <f t="shared" si="3"/>
        <v>204392070.33152002</v>
      </c>
      <c r="R9" s="44">
        <f t="shared" si="3"/>
        <v>200358632.46324942</v>
      </c>
      <c r="S9" s="44">
        <f t="shared" si="4"/>
        <v>-4033437.8682706058</v>
      </c>
    </row>
    <row r="10" spans="1:19">
      <c r="A10" s="43" t="s">
        <v>35</v>
      </c>
      <c r="B10" s="44">
        <f>TCO!J$21</f>
        <v>0</v>
      </c>
      <c r="C10" s="44">
        <f>TCO!J$11+TCO!J$12</f>
        <v>0</v>
      </c>
      <c r="D10" s="97">
        <f t="shared" si="0"/>
        <v>0</v>
      </c>
      <c r="E10" s="44">
        <f>TCO!J$20</f>
        <v>434000</v>
      </c>
      <c r="F10" s="44">
        <f>TCO!J$7+TCO!J$8</f>
        <v>370000</v>
      </c>
      <c r="G10" s="97">
        <f t="shared" si="1"/>
        <v>-64000</v>
      </c>
      <c r="H10" s="44">
        <f>TCO!J$24-(TCO!J$20+TCO!J$21)</f>
        <v>144000</v>
      </c>
      <c r="I10" s="44">
        <f>TCO!J$9+TCO!J$10</f>
        <v>2120000</v>
      </c>
      <c r="J10" s="97">
        <f t="shared" si="2"/>
        <v>1976000</v>
      </c>
      <c r="K10" s="46">
        <f>IF(ISERR(Faktory!$D$9*'Parametre - Agendové IS'!D9),"-",Faktory!$D$9*'Parametre - Agendové IS'!D9)</f>
        <v>56707053.456</v>
      </c>
      <c r="L10" s="44">
        <f>IF(ISERR(Faktory!$D$9*'Parametre - Agendové IS'!E9),"-",Faktory!$D$9*'Parametre - Agendové IS'!E9)</f>
        <v>56707053.456</v>
      </c>
      <c r="M10" s="44">
        <f t="shared" si="5"/>
        <v>0</v>
      </c>
      <c r="N10" s="44">
        <f>IF(ISERR(Faktory!$D$7*'Parametre - Agendové IS'!D9*'Parametre - Agendové IS'!D29*'Parametre - Agendové IS'!D49),"-",Faktory!$D$7*'Parametre - Agendové IS'!D9*'Parametre - Agendové IS'!D29*'Parametre - Agendové IS'!D49)</f>
        <v>147107016.87552002</v>
      </c>
      <c r="O10" s="44">
        <f>IF(ISERR(Faktory!$D$7*'Parametre - Agendové IS'!E9*'Parametre - Agendové IS'!E29*'Parametre - Agendové IS'!E49),"-",Faktory!$D$7*'Parametre - Agendové IS'!E9*'Parametre - Agendové IS'!E29*'Parametre - Agendové IS'!E49)</f>
        <v>138455947.42710441</v>
      </c>
      <c r="P10" s="44">
        <f t="shared" si="6"/>
        <v>-8651069.4484156072</v>
      </c>
      <c r="Q10" s="44">
        <f t="shared" si="3"/>
        <v>204392070.33152002</v>
      </c>
      <c r="R10" s="44">
        <f t="shared" si="3"/>
        <v>197653000.88310441</v>
      </c>
      <c r="S10" s="44">
        <f t="shared" si="4"/>
        <v>-6739069.4484156072</v>
      </c>
    </row>
    <row r="11" spans="1:19">
      <c r="A11" s="43" t="s">
        <v>36</v>
      </c>
      <c r="B11" s="44">
        <f>TCO!K$21</f>
        <v>0</v>
      </c>
      <c r="C11" s="44">
        <f>TCO!K$11+TCO!K$12</f>
        <v>0</v>
      </c>
      <c r="D11" s="97">
        <f t="shared" si="0"/>
        <v>0</v>
      </c>
      <c r="E11" s="44">
        <f>TCO!K$20</f>
        <v>434000</v>
      </c>
      <c r="F11" s="44">
        <f>TCO!K$7+TCO!K$8</f>
        <v>250000</v>
      </c>
      <c r="G11" s="97">
        <f t="shared" si="1"/>
        <v>-184000</v>
      </c>
      <c r="H11" s="44">
        <f>TCO!K$24-(TCO!K$20+TCO!K$21)</f>
        <v>144000</v>
      </c>
      <c r="I11" s="44">
        <f>TCO!K$9+TCO!K$10</f>
        <v>2120000</v>
      </c>
      <c r="J11" s="97">
        <f t="shared" si="2"/>
        <v>1976000</v>
      </c>
      <c r="K11" s="46">
        <f>IF(ISERR(Faktory!$D$9*'Parametre - Agendové IS'!D10),"-",Faktory!$D$9*'Parametre - Agendové IS'!D10)</f>
        <v>56707053.456</v>
      </c>
      <c r="L11" s="44">
        <f>IF(ISERR(Faktory!$D$9*'Parametre - Agendové IS'!E10),"-",Faktory!$D$9*'Parametre - Agendové IS'!E10)</f>
        <v>56707053.456</v>
      </c>
      <c r="M11" s="44">
        <f t="shared" si="5"/>
        <v>0</v>
      </c>
      <c r="N11" s="44">
        <f>IF(ISERR(Faktory!$D$7*'Parametre - Agendové IS'!D10*'Parametre - Agendové IS'!D30*'Parametre - Agendové IS'!D50),"-",Faktory!$D$7*'Parametre - Agendové IS'!D10*'Parametre - Agendové IS'!D30*'Parametre - Agendové IS'!D50)</f>
        <v>147107016.87552002</v>
      </c>
      <c r="O11" s="44">
        <f>IF(ISERR(Faktory!$D$7*'Parametre - Agendové IS'!E10*'Parametre - Agendové IS'!E30*'Parametre - Agendové IS'!E50),"-",Faktory!$D$7*'Parametre - Agendové IS'!E10*'Parametre - Agendové IS'!E30*'Parametre - Agendové IS'!E50)</f>
        <v>135686828.47856233</v>
      </c>
      <c r="P11" s="44">
        <f t="shared" si="6"/>
        <v>-11420188.396957695</v>
      </c>
      <c r="Q11" s="44">
        <f t="shared" si="3"/>
        <v>204392070.33152002</v>
      </c>
      <c r="R11" s="44">
        <f t="shared" si="3"/>
        <v>194763881.93456233</v>
      </c>
      <c r="S11" s="44">
        <f t="shared" si="4"/>
        <v>-9628188.3969576955</v>
      </c>
    </row>
    <row r="12" spans="1:19">
      <c r="A12" s="43" t="s">
        <v>37</v>
      </c>
      <c r="B12" s="44">
        <f>TCO!L$21</f>
        <v>0</v>
      </c>
      <c r="C12" s="44">
        <f>TCO!L$11+TCO!L$12</f>
        <v>0</v>
      </c>
      <c r="D12" s="97">
        <f t="shared" si="0"/>
        <v>0</v>
      </c>
      <c r="E12" s="44">
        <f>TCO!L$20</f>
        <v>434000</v>
      </c>
      <c r="F12" s="44">
        <f>TCO!L$7+TCO!L$8</f>
        <v>250000</v>
      </c>
      <c r="G12" s="97">
        <f t="shared" si="1"/>
        <v>-184000</v>
      </c>
      <c r="H12" s="44">
        <f>TCO!L$24-(TCO!L$20+TCO!L$21)</f>
        <v>144000</v>
      </c>
      <c r="I12" s="44">
        <f>TCO!L$9+TCO!L$10</f>
        <v>2120000</v>
      </c>
      <c r="J12" s="97">
        <f t="shared" si="2"/>
        <v>1976000</v>
      </c>
      <c r="K12" s="46">
        <f>IF(ISERR(Faktory!$D$9*'Parametre - Agendové IS'!D11),"-",Faktory!$D$9*'Parametre - Agendové IS'!D11)</f>
        <v>56707053.456</v>
      </c>
      <c r="L12" s="44">
        <f>IF(ISERR(Faktory!$D$9*'Parametre - Agendové IS'!E11),"-",Faktory!$D$9*'Parametre - Agendové IS'!E11)</f>
        <v>56707053.456</v>
      </c>
      <c r="M12" s="44">
        <f t="shared" si="5"/>
        <v>0</v>
      </c>
      <c r="N12" s="44">
        <f>IF(ISERR(Faktory!$D$7*'Parametre - Agendové IS'!D11*'Parametre - Agendové IS'!D31*'Parametre - Agendové IS'!D51),"-",Faktory!$D$7*'Parametre - Agendové IS'!D11*'Parametre - Agendové IS'!D31*'Parametre - Agendové IS'!D51)</f>
        <v>147107016.87552002</v>
      </c>
      <c r="O12" s="44">
        <f>IF(ISERR(Faktory!$D$7*'Parametre - Agendové IS'!E11*'Parametre - Agendové IS'!E31*'Parametre - Agendové IS'!E51),"-",Faktory!$D$7*'Parametre - Agendové IS'!E11*'Parametre - Agendové IS'!E31*'Parametre - Agendové IS'!E51)</f>
        <v>132973091.90899108</v>
      </c>
      <c r="P12" s="44">
        <f t="shared" si="6"/>
        <v>-14133924.966528937</v>
      </c>
      <c r="Q12" s="44">
        <f t="shared" si="3"/>
        <v>204392070.33152002</v>
      </c>
      <c r="R12" s="44">
        <f t="shared" si="3"/>
        <v>192050145.36499107</v>
      </c>
      <c r="S12" s="44">
        <f t="shared" si="4"/>
        <v>-12341924.966528952</v>
      </c>
    </row>
    <row r="13" spans="1:19" ht="15.75" thickBot="1">
      <c r="A13" s="88" t="s">
        <v>38</v>
      </c>
      <c r="B13" s="44">
        <f>TCO!M$21</f>
        <v>0</v>
      </c>
      <c r="C13" s="44">
        <f>TCO!M$11+TCO!M$12</f>
        <v>0</v>
      </c>
      <c r="D13" s="98">
        <f t="shared" si="0"/>
        <v>0</v>
      </c>
      <c r="E13" s="44">
        <f>TCO!M$20</f>
        <v>434000</v>
      </c>
      <c r="F13" s="44">
        <f>TCO!M$7+TCO!M$8</f>
        <v>370000</v>
      </c>
      <c r="G13" s="98">
        <f t="shared" si="1"/>
        <v>-64000</v>
      </c>
      <c r="H13" s="44">
        <f>TCO!M$24-(TCO!M$20+TCO!M$21)</f>
        <v>144000</v>
      </c>
      <c r="I13" s="44">
        <f>TCO!M$9+TCO!M$10</f>
        <v>2120000</v>
      </c>
      <c r="J13" s="98">
        <f t="shared" si="2"/>
        <v>1976000</v>
      </c>
      <c r="K13" s="46">
        <f>IF(ISERR(Faktory!$D$9*'Parametre - Agendové IS'!D12),"-",Faktory!$D$9*'Parametre - Agendové IS'!D12)</f>
        <v>56707053.456</v>
      </c>
      <c r="L13" s="44">
        <f>IF(ISERR(Faktory!$D$9*'Parametre - Agendové IS'!E12),"-",Faktory!$D$9*'Parametre - Agendové IS'!E12)</f>
        <v>56707053.456</v>
      </c>
      <c r="M13" s="44">
        <f t="shared" si="5"/>
        <v>0</v>
      </c>
      <c r="N13" s="44">
        <f>IF(ISERR(Faktory!$D$7*'Parametre - Agendové IS'!D12*'Parametre - Agendové IS'!D32*'Parametre - Agendové IS'!D52),"-",Faktory!$D$7*'Parametre - Agendové IS'!D12*'Parametre - Agendové IS'!D32*'Parametre - Agendové IS'!D52)</f>
        <v>147107016.87552002</v>
      </c>
      <c r="O13" s="44">
        <f>IF(ISERR(Faktory!$D$7*'Parametre - Agendové IS'!E12*'Parametre - Agendové IS'!E32*'Parametre - Agendové IS'!E52),"-",Faktory!$D$7*'Parametre - Agendové IS'!E12*'Parametre - Agendové IS'!E32*'Parametre - Agendové IS'!E52)</f>
        <v>132973091.90899108</v>
      </c>
      <c r="P13" s="44">
        <f t="shared" si="6"/>
        <v>-14133924.966528937</v>
      </c>
      <c r="Q13" s="92">
        <f t="shared" si="3"/>
        <v>204392070.33152002</v>
      </c>
      <c r="R13" s="92">
        <f t="shared" si="3"/>
        <v>192170145.36499107</v>
      </c>
      <c r="S13" s="92">
        <f t="shared" si="4"/>
        <v>-12221924.966528952</v>
      </c>
    </row>
    <row r="14" spans="1:19" ht="15.75" thickBot="1">
      <c r="A14" s="25"/>
      <c r="B14" s="25"/>
      <c r="C14" s="25"/>
      <c r="D14" s="25"/>
      <c r="E14" s="25"/>
      <c r="F14" s="25"/>
      <c r="G14" s="25"/>
      <c r="H14" s="25"/>
      <c r="I14" s="25"/>
      <c r="J14" s="25"/>
      <c r="K14" s="25"/>
      <c r="L14" s="25"/>
      <c r="M14" s="25"/>
      <c r="N14" s="25"/>
      <c r="O14" s="25"/>
      <c r="P14" s="60" t="s">
        <v>39</v>
      </c>
      <c r="Q14" s="93">
        <f>SUM(Q4:Q13)</f>
        <v>2043692703.3152006</v>
      </c>
      <c r="R14" s="94">
        <f>SUM(R4:R13)</f>
        <v>2017084017.3309879</v>
      </c>
      <c r="S14" s="95">
        <f>SUM(S4:S13)</f>
        <v>-26608685.98421222</v>
      </c>
    </row>
    <row r="15" spans="1:19">
      <c r="A15" s="185" t="s">
        <v>147</v>
      </c>
      <c r="B15" s="186" t="s">
        <v>149</v>
      </c>
    </row>
  </sheetData>
  <mergeCells count="8">
    <mergeCell ref="B1:J1"/>
    <mergeCell ref="K1:P1"/>
    <mergeCell ref="Q1:S1"/>
    <mergeCell ref="B2:D2"/>
    <mergeCell ref="E2:G2"/>
    <mergeCell ref="H2:J2"/>
    <mergeCell ref="K2:M2"/>
    <mergeCell ref="N2:P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B1" workbookViewId="0">
      <selection activeCell="B2" sqref="B2"/>
    </sheetView>
  </sheetViews>
  <sheetFormatPr defaultColWidth="8.85546875" defaultRowHeight="15"/>
  <cols>
    <col min="1" max="1" width="23.85546875" customWidth="1"/>
    <col min="2" max="2" width="11.28515625" customWidth="1"/>
    <col min="3" max="3" width="12.28515625" customWidth="1"/>
    <col min="5" max="6" width="9.85546875" bestFit="1" customWidth="1"/>
    <col min="7" max="7" width="10.28515625" bestFit="1" customWidth="1"/>
    <col min="8" max="8" width="28.42578125" customWidth="1"/>
    <col min="9" max="9" width="8.7109375" bestFit="1" customWidth="1"/>
    <col min="10" max="10" width="24.140625" customWidth="1"/>
    <col min="11" max="11" width="15.42578125" customWidth="1"/>
    <col min="12" max="12" width="18" customWidth="1"/>
    <col min="13" max="13" width="14.140625" customWidth="1"/>
    <col min="14" max="14" width="19.42578125" customWidth="1"/>
    <col min="15" max="15" width="10.28515625" customWidth="1"/>
    <col min="16" max="16" width="22.42578125" customWidth="1"/>
    <col min="17" max="17" width="8.7109375" customWidth="1"/>
    <col min="18" max="18" width="23.140625" customWidth="1"/>
  </cols>
  <sheetData>
    <row r="1" spans="1:18" ht="14.45" customHeight="1">
      <c r="A1" s="29"/>
      <c r="B1" s="29"/>
      <c r="C1" s="29"/>
      <c r="D1" s="405" t="s">
        <v>39</v>
      </c>
      <c r="E1" s="406"/>
      <c r="F1" s="409"/>
      <c r="G1" s="415" t="s">
        <v>187</v>
      </c>
      <c r="H1" s="416"/>
      <c r="I1" s="415" t="s">
        <v>188</v>
      </c>
      <c r="J1" s="416"/>
      <c r="K1" s="415" t="s">
        <v>183</v>
      </c>
      <c r="L1" s="416"/>
      <c r="M1" s="415" t="s">
        <v>184</v>
      </c>
      <c r="N1" s="416"/>
      <c r="O1" s="415" t="s">
        <v>185</v>
      </c>
      <c r="P1" s="416"/>
      <c r="Q1" s="415" t="s">
        <v>186</v>
      </c>
      <c r="R1" s="416"/>
    </row>
    <row r="2" spans="1:18" ht="26.25" thickBot="1">
      <c r="A2" s="31" t="s">
        <v>49</v>
      </c>
      <c r="B2" s="31" t="s">
        <v>11</v>
      </c>
      <c r="C2" s="47" t="s">
        <v>25</v>
      </c>
      <c r="D2" s="32" t="s">
        <v>26</v>
      </c>
      <c r="E2" s="128" t="s">
        <v>27</v>
      </c>
      <c r="F2" s="33" t="s">
        <v>28</v>
      </c>
      <c r="G2" s="32" t="s">
        <v>26</v>
      </c>
      <c r="H2" s="34" t="s">
        <v>27</v>
      </c>
      <c r="I2" s="35" t="s">
        <v>26</v>
      </c>
      <c r="J2" s="34" t="s">
        <v>27</v>
      </c>
      <c r="K2" s="35" t="s">
        <v>26</v>
      </c>
      <c r="L2" s="34" t="s">
        <v>27</v>
      </c>
      <c r="M2" s="35" t="s">
        <v>26</v>
      </c>
      <c r="N2" s="34" t="s">
        <v>27</v>
      </c>
      <c r="O2" s="32" t="s">
        <v>26</v>
      </c>
      <c r="P2" s="34" t="s">
        <v>27</v>
      </c>
      <c r="Q2" s="35" t="s">
        <v>26</v>
      </c>
      <c r="R2" s="34" t="s">
        <v>27</v>
      </c>
    </row>
    <row r="3" spans="1:18" ht="15.75" thickBot="1">
      <c r="A3" s="417" t="s">
        <v>89</v>
      </c>
      <c r="B3" s="420" t="s">
        <v>14</v>
      </c>
      <c r="C3" s="68" t="s">
        <v>29</v>
      </c>
      <c r="D3" s="69">
        <f>SUM(G3,I3,K3,M3)</f>
        <v>108784.80000000002</v>
      </c>
      <c r="E3" s="83">
        <f>SUM(H3,J3,L3,N3,P3,R3)</f>
        <v>318960.70800000004</v>
      </c>
      <c r="F3" s="70">
        <f>E3-D3</f>
        <v>210175.90800000002</v>
      </c>
      <c r="G3" s="71">
        <f>SUM(H3/2)</f>
        <v>31215.599999999999</v>
      </c>
      <c r="H3" s="71">
        <f>SUM(31215.6*2)</f>
        <v>62431.199999999997</v>
      </c>
      <c r="I3" s="71">
        <f>SUM(J3/2)</f>
        <v>77569.200000000012</v>
      </c>
      <c r="J3" s="71">
        <f>SUM(51712.8*3)</f>
        <v>155138.40000000002</v>
      </c>
      <c r="K3" s="71">
        <v>0</v>
      </c>
      <c r="L3" s="71">
        <v>31027.68</v>
      </c>
      <c r="M3" s="71">
        <v>0</v>
      </c>
      <c r="N3" s="72">
        <f t="shared" ref="N3:N12" si="0">SUM((244.83*4)*12)*3</f>
        <v>35255.520000000004</v>
      </c>
      <c r="O3" s="71">
        <v>0</v>
      </c>
      <c r="P3" s="71">
        <v>19716.48</v>
      </c>
      <c r="Q3" s="71">
        <v>0</v>
      </c>
      <c r="R3" s="71">
        <v>15391.428</v>
      </c>
    </row>
    <row r="4" spans="1:18" ht="15.75" thickBot="1">
      <c r="A4" s="418"/>
      <c r="B4" s="421"/>
      <c r="C4" s="43" t="s">
        <v>30</v>
      </c>
      <c r="D4" s="45">
        <f t="shared" ref="D4:D12" si="1">SUM(G4,I4,K4,M4)</f>
        <v>108784.80000000002</v>
      </c>
      <c r="E4" s="117">
        <f t="shared" ref="E4:E12" si="2">SUM(H4,J4,L4,N4,P4,R4)</f>
        <v>318960.70800000004</v>
      </c>
      <c r="F4" s="48">
        <f t="shared" ref="F4:F12" si="3">E4-D4</f>
        <v>210175.90800000002</v>
      </c>
      <c r="G4" s="73">
        <f t="shared" ref="G4:G12" si="4">SUM(H4/2)</f>
        <v>31215.599999999999</v>
      </c>
      <c r="H4" s="73">
        <f t="shared" ref="H4:H12" si="5">SUM(31215.6*2)</f>
        <v>62431.199999999997</v>
      </c>
      <c r="I4" s="73">
        <f t="shared" ref="I4:I12" si="6">SUM(J4/2)</f>
        <v>77569.200000000012</v>
      </c>
      <c r="J4" s="73">
        <f t="shared" ref="J4:J12" si="7">SUM(51712.8*3)</f>
        <v>155138.40000000002</v>
      </c>
      <c r="K4" s="73">
        <v>0</v>
      </c>
      <c r="L4" s="73">
        <v>31027.68</v>
      </c>
      <c r="M4" s="73">
        <v>0</v>
      </c>
      <c r="N4" s="74">
        <f t="shared" si="0"/>
        <v>35255.520000000004</v>
      </c>
      <c r="O4" s="73">
        <v>0</v>
      </c>
      <c r="P4" s="73">
        <v>19716.48</v>
      </c>
      <c r="Q4" s="73">
        <v>0</v>
      </c>
      <c r="R4" s="71">
        <v>15391.428</v>
      </c>
    </row>
    <row r="5" spans="1:18" ht="15.75" thickBot="1">
      <c r="A5" s="418"/>
      <c r="B5" s="421"/>
      <c r="C5" s="43" t="s">
        <v>31</v>
      </c>
      <c r="D5" s="45">
        <f t="shared" si="1"/>
        <v>108784.80000000002</v>
      </c>
      <c r="E5" s="117">
        <f t="shared" si="2"/>
        <v>318960.70800000004</v>
      </c>
      <c r="F5" s="48">
        <f t="shared" si="3"/>
        <v>210175.90800000002</v>
      </c>
      <c r="G5" s="73">
        <f t="shared" si="4"/>
        <v>31215.599999999999</v>
      </c>
      <c r="H5" s="73">
        <f t="shared" si="5"/>
        <v>62431.199999999997</v>
      </c>
      <c r="I5" s="73">
        <f t="shared" si="6"/>
        <v>77569.200000000012</v>
      </c>
      <c r="J5" s="73">
        <f t="shared" si="7"/>
        <v>155138.40000000002</v>
      </c>
      <c r="K5" s="73">
        <v>0</v>
      </c>
      <c r="L5" s="73">
        <v>31027.68</v>
      </c>
      <c r="M5" s="73">
        <v>0</v>
      </c>
      <c r="N5" s="74">
        <f t="shared" si="0"/>
        <v>35255.520000000004</v>
      </c>
      <c r="O5" s="73">
        <v>0</v>
      </c>
      <c r="P5" s="73">
        <v>19716.48</v>
      </c>
      <c r="Q5" s="73">
        <v>0</v>
      </c>
      <c r="R5" s="71">
        <v>15391.428</v>
      </c>
    </row>
    <row r="6" spans="1:18" ht="15.75" thickBot="1">
      <c r="A6" s="418"/>
      <c r="B6" s="421"/>
      <c r="C6" s="43" t="s">
        <v>32</v>
      </c>
      <c r="D6" s="45">
        <f t="shared" si="1"/>
        <v>108784.80000000002</v>
      </c>
      <c r="E6" s="117">
        <f t="shared" si="2"/>
        <v>318960.70800000004</v>
      </c>
      <c r="F6" s="48">
        <f t="shared" si="3"/>
        <v>210175.90800000002</v>
      </c>
      <c r="G6" s="73">
        <f t="shared" si="4"/>
        <v>31215.599999999999</v>
      </c>
      <c r="H6" s="73">
        <f t="shared" si="5"/>
        <v>62431.199999999997</v>
      </c>
      <c r="I6" s="73">
        <f t="shared" si="6"/>
        <v>77569.200000000012</v>
      </c>
      <c r="J6" s="73">
        <f t="shared" si="7"/>
        <v>155138.40000000002</v>
      </c>
      <c r="K6" s="73">
        <v>0</v>
      </c>
      <c r="L6" s="73">
        <v>31027.68</v>
      </c>
      <c r="M6" s="73">
        <v>0</v>
      </c>
      <c r="N6" s="74">
        <f t="shared" si="0"/>
        <v>35255.520000000004</v>
      </c>
      <c r="O6" s="73">
        <v>0</v>
      </c>
      <c r="P6" s="73">
        <v>19716.48</v>
      </c>
      <c r="Q6" s="73">
        <v>0</v>
      </c>
      <c r="R6" s="71">
        <v>15391.428</v>
      </c>
    </row>
    <row r="7" spans="1:18" ht="15.75" thickBot="1">
      <c r="A7" s="418"/>
      <c r="B7" s="421"/>
      <c r="C7" s="43" t="s">
        <v>33</v>
      </c>
      <c r="D7" s="45">
        <f t="shared" si="1"/>
        <v>108784.80000000002</v>
      </c>
      <c r="E7" s="117">
        <f t="shared" si="2"/>
        <v>318960.70800000004</v>
      </c>
      <c r="F7" s="48">
        <f t="shared" si="3"/>
        <v>210175.90800000002</v>
      </c>
      <c r="G7" s="73">
        <f t="shared" si="4"/>
        <v>31215.599999999999</v>
      </c>
      <c r="H7" s="73">
        <f t="shared" si="5"/>
        <v>62431.199999999997</v>
      </c>
      <c r="I7" s="73">
        <f t="shared" si="6"/>
        <v>77569.200000000012</v>
      </c>
      <c r="J7" s="73">
        <f t="shared" si="7"/>
        <v>155138.40000000002</v>
      </c>
      <c r="K7" s="73">
        <v>0</v>
      </c>
      <c r="L7" s="73">
        <v>31027.68</v>
      </c>
      <c r="M7" s="73">
        <v>0</v>
      </c>
      <c r="N7" s="74">
        <f t="shared" si="0"/>
        <v>35255.520000000004</v>
      </c>
      <c r="O7" s="73">
        <v>0</v>
      </c>
      <c r="P7" s="73">
        <v>19716.48</v>
      </c>
      <c r="Q7" s="73">
        <v>0</v>
      </c>
      <c r="R7" s="71">
        <v>15391.428</v>
      </c>
    </row>
    <row r="8" spans="1:18" ht="15.75" thickBot="1">
      <c r="A8" s="418"/>
      <c r="B8" s="421"/>
      <c r="C8" s="43" t="s">
        <v>34</v>
      </c>
      <c r="D8" s="45">
        <f t="shared" si="1"/>
        <v>108784.80000000002</v>
      </c>
      <c r="E8" s="117">
        <f t="shared" si="2"/>
        <v>318960.70800000004</v>
      </c>
      <c r="F8" s="48">
        <f t="shared" si="3"/>
        <v>210175.90800000002</v>
      </c>
      <c r="G8" s="73">
        <f t="shared" si="4"/>
        <v>31215.599999999999</v>
      </c>
      <c r="H8" s="73">
        <f t="shared" si="5"/>
        <v>62431.199999999997</v>
      </c>
      <c r="I8" s="73">
        <f t="shared" si="6"/>
        <v>77569.200000000012</v>
      </c>
      <c r="J8" s="73">
        <f t="shared" si="7"/>
        <v>155138.40000000002</v>
      </c>
      <c r="K8" s="73">
        <v>0</v>
      </c>
      <c r="L8" s="73">
        <v>31027.68</v>
      </c>
      <c r="M8" s="73">
        <v>0</v>
      </c>
      <c r="N8" s="74">
        <f t="shared" si="0"/>
        <v>35255.520000000004</v>
      </c>
      <c r="O8" s="73">
        <v>0</v>
      </c>
      <c r="P8" s="73">
        <v>19716.48</v>
      </c>
      <c r="Q8" s="73">
        <v>0</v>
      </c>
      <c r="R8" s="71">
        <v>15391.428</v>
      </c>
    </row>
    <row r="9" spans="1:18" ht="15.75" thickBot="1">
      <c r="A9" s="418"/>
      <c r="B9" s="421"/>
      <c r="C9" s="43" t="s">
        <v>35</v>
      </c>
      <c r="D9" s="45">
        <f t="shared" si="1"/>
        <v>108784.80000000002</v>
      </c>
      <c r="E9" s="117">
        <f t="shared" si="2"/>
        <v>318960.70800000004</v>
      </c>
      <c r="F9" s="48">
        <f t="shared" si="3"/>
        <v>210175.90800000002</v>
      </c>
      <c r="G9" s="73">
        <f t="shared" si="4"/>
        <v>31215.599999999999</v>
      </c>
      <c r="H9" s="73">
        <f t="shared" si="5"/>
        <v>62431.199999999997</v>
      </c>
      <c r="I9" s="73">
        <f t="shared" si="6"/>
        <v>77569.200000000012</v>
      </c>
      <c r="J9" s="73">
        <f t="shared" si="7"/>
        <v>155138.40000000002</v>
      </c>
      <c r="K9" s="73">
        <v>0</v>
      </c>
      <c r="L9" s="73">
        <v>31027.68</v>
      </c>
      <c r="M9" s="73">
        <v>0</v>
      </c>
      <c r="N9" s="74">
        <f t="shared" si="0"/>
        <v>35255.520000000004</v>
      </c>
      <c r="O9" s="73">
        <v>0</v>
      </c>
      <c r="P9" s="73">
        <v>19716.48</v>
      </c>
      <c r="Q9" s="73">
        <v>0</v>
      </c>
      <c r="R9" s="71">
        <v>15391.428</v>
      </c>
    </row>
    <row r="10" spans="1:18" ht="15.75" thickBot="1">
      <c r="A10" s="418"/>
      <c r="B10" s="421"/>
      <c r="C10" s="43" t="s">
        <v>36</v>
      </c>
      <c r="D10" s="45">
        <f t="shared" si="1"/>
        <v>108784.80000000002</v>
      </c>
      <c r="E10" s="117">
        <f t="shared" si="2"/>
        <v>318960.70800000004</v>
      </c>
      <c r="F10" s="48">
        <f t="shared" si="3"/>
        <v>210175.90800000002</v>
      </c>
      <c r="G10" s="73">
        <f t="shared" si="4"/>
        <v>31215.599999999999</v>
      </c>
      <c r="H10" s="73">
        <f t="shared" si="5"/>
        <v>62431.199999999997</v>
      </c>
      <c r="I10" s="73">
        <f t="shared" si="6"/>
        <v>77569.200000000012</v>
      </c>
      <c r="J10" s="73">
        <f t="shared" si="7"/>
        <v>155138.40000000002</v>
      </c>
      <c r="K10" s="73">
        <v>0</v>
      </c>
      <c r="L10" s="73">
        <v>31027.68</v>
      </c>
      <c r="M10" s="73">
        <v>0</v>
      </c>
      <c r="N10" s="74">
        <f t="shared" si="0"/>
        <v>35255.520000000004</v>
      </c>
      <c r="O10" s="73">
        <v>0</v>
      </c>
      <c r="P10" s="73">
        <v>19716.48</v>
      </c>
      <c r="Q10" s="73">
        <v>0</v>
      </c>
      <c r="R10" s="71">
        <v>15391.428</v>
      </c>
    </row>
    <row r="11" spans="1:18" ht="15.75" thickBot="1">
      <c r="A11" s="418"/>
      <c r="B11" s="421"/>
      <c r="C11" s="43" t="s">
        <v>37</v>
      </c>
      <c r="D11" s="45">
        <f t="shared" si="1"/>
        <v>108784.80000000002</v>
      </c>
      <c r="E11" s="117">
        <f t="shared" si="2"/>
        <v>318960.70800000004</v>
      </c>
      <c r="F11" s="48">
        <f t="shared" si="3"/>
        <v>210175.90800000002</v>
      </c>
      <c r="G11" s="73">
        <f t="shared" si="4"/>
        <v>31215.599999999999</v>
      </c>
      <c r="H11" s="73">
        <f t="shared" si="5"/>
        <v>62431.199999999997</v>
      </c>
      <c r="I11" s="73">
        <f t="shared" si="6"/>
        <v>77569.200000000012</v>
      </c>
      <c r="J11" s="73">
        <f t="shared" si="7"/>
        <v>155138.40000000002</v>
      </c>
      <c r="K11" s="73">
        <v>0</v>
      </c>
      <c r="L11" s="73">
        <v>31027.68</v>
      </c>
      <c r="M11" s="73">
        <v>0</v>
      </c>
      <c r="N11" s="74">
        <f t="shared" si="0"/>
        <v>35255.520000000004</v>
      </c>
      <c r="O11" s="73">
        <v>0</v>
      </c>
      <c r="P11" s="73">
        <v>19716.48</v>
      </c>
      <c r="Q11" s="73">
        <v>0</v>
      </c>
      <c r="R11" s="71">
        <v>15391.428</v>
      </c>
    </row>
    <row r="12" spans="1:18" ht="15.75" thickBot="1">
      <c r="A12" s="419"/>
      <c r="B12" s="422"/>
      <c r="C12" s="75" t="s">
        <v>38</v>
      </c>
      <c r="D12" s="129">
        <f t="shared" si="1"/>
        <v>108784.80000000002</v>
      </c>
      <c r="E12" s="77">
        <f t="shared" si="2"/>
        <v>318960.70800000004</v>
      </c>
      <c r="F12" s="78">
        <f t="shared" si="3"/>
        <v>210175.90800000002</v>
      </c>
      <c r="G12" s="79">
        <f t="shared" si="4"/>
        <v>31215.599999999999</v>
      </c>
      <c r="H12" s="79">
        <f t="shared" si="5"/>
        <v>62431.199999999997</v>
      </c>
      <c r="I12" s="79">
        <f t="shared" si="6"/>
        <v>77569.200000000012</v>
      </c>
      <c r="J12" s="79">
        <f t="shared" si="7"/>
        <v>155138.40000000002</v>
      </c>
      <c r="K12" s="79">
        <v>0</v>
      </c>
      <c r="L12" s="79">
        <v>31027.68</v>
      </c>
      <c r="M12" s="79">
        <v>0</v>
      </c>
      <c r="N12" s="80">
        <f t="shared" si="0"/>
        <v>35255.520000000004</v>
      </c>
      <c r="O12" s="79">
        <v>0</v>
      </c>
      <c r="P12" s="79">
        <v>19716.48</v>
      </c>
      <c r="Q12" s="79">
        <v>0</v>
      </c>
      <c r="R12" s="71">
        <v>15391.428</v>
      </c>
    </row>
  </sheetData>
  <mergeCells count="9">
    <mergeCell ref="O1:P1"/>
    <mergeCell ref="Q1:R1"/>
    <mergeCell ref="K1:L1"/>
    <mergeCell ref="M1:N1"/>
    <mergeCell ref="A3:A12"/>
    <mergeCell ref="B3:B12"/>
    <mergeCell ref="D1:F1"/>
    <mergeCell ref="G1:H1"/>
    <mergeCell ref="I1:J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topLeftCell="E1" zoomScale="125" zoomScaleNormal="160" zoomScalePageLayoutView="160" workbookViewId="0">
      <selection activeCell="I3" sqref="I3"/>
    </sheetView>
  </sheetViews>
  <sheetFormatPr defaultColWidth="9.140625" defaultRowHeight="15"/>
  <cols>
    <col min="1" max="1" width="30" style="22" customWidth="1"/>
    <col min="2" max="2" width="9.85546875" style="22" bestFit="1" customWidth="1"/>
    <col min="3" max="3" width="8.85546875" style="22" bestFit="1" customWidth="1"/>
    <col min="4" max="4" width="15" style="26" bestFit="1" customWidth="1"/>
    <col min="5" max="5" width="10.28515625" style="12" customWidth="1"/>
    <col min="6" max="6" width="15.7109375" style="27" bestFit="1" customWidth="1"/>
    <col min="7" max="7" width="13.85546875" style="12" bestFit="1" customWidth="1"/>
    <col min="8" max="8" width="12.42578125" style="28" customWidth="1"/>
    <col min="9" max="10" width="10.28515625" style="22" customWidth="1"/>
    <col min="11" max="11" width="10.28515625" style="11" customWidth="1"/>
    <col min="12" max="12" width="14" style="28" customWidth="1"/>
    <col min="13" max="13" width="10.28515625" style="11" customWidth="1"/>
    <col min="14" max="14" width="10.28515625" style="28" customWidth="1"/>
    <col min="15" max="15" width="13.85546875" style="184" customWidth="1"/>
    <col min="16" max="16" width="10.85546875" style="22" bestFit="1" customWidth="1"/>
    <col min="17" max="17" width="9.140625" style="22"/>
    <col min="18" max="18" width="10.85546875" style="22" bestFit="1" customWidth="1"/>
    <col min="19" max="249" width="9.140625" style="22"/>
    <col min="250" max="250" width="1.7109375" style="22" customWidth="1"/>
    <col min="251" max="251" width="19.140625" style="22" customWidth="1"/>
    <col min="252" max="252" width="35.140625" style="22" customWidth="1"/>
    <col min="253" max="253" width="9.85546875" style="22" bestFit="1" customWidth="1"/>
    <col min="254" max="254" width="8.85546875" style="22" bestFit="1" customWidth="1"/>
    <col min="255" max="265" width="10.28515625" style="22" customWidth="1"/>
    <col min="266" max="505" width="9.140625" style="22"/>
    <col min="506" max="506" width="1.7109375" style="22" customWidth="1"/>
    <col min="507" max="507" width="19.140625" style="22" customWidth="1"/>
    <col min="508" max="508" width="35.140625" style="22" customWidth="1"/>
    <col min="509" max="509" width="9.85546875" style="22" bestFit="1" customWidth="1"/>
    <col min="510" max="510" width="8.85546875" style="22" bestFit="1" customWidth="1"/>
    <col min="511" max="521" width="10.28515625" style="22" customWidth="1"/>
    <col min="522" max="761" width="9.140625" style="22"/>
    <col min="762" max="762" width="1.7109375" style="22" customWidth="1"/>
    <col min="763" max="763" width="19.140625" style="22" customWidth="1"/>
    <col min="764" max="764" width="35.140625" style="22" customWidth="1"/>
    <col min="765" max="765" width="9.85546875" style="22" bestFit="1" customWidth="1"/>
    <col min="766" max="766" width="8.85546875" style="22" bestFit="1" customWidth="1"/>
    <col min="767" max="777" width="10.28515625" style="22" customWidth="1"/>
    <col min="778" max="1017" width="9.140625" style="22"/>
    <col min="1018" max="1018" width="1.7109375" style="22" customWidth="1"/>
    <col min="1019" max="1019" width="19.140625" style="22" customWidth="1"/>
    <col min="1020" max="1020" width="35.140625" style="22" customWidth="1"/>
    <col min="1021" max="1021" width="9.85546875" style="22" bestFit="1" customWidth="1"/>
    <col min="1022" max="1022" width="8.85546875" style="22" bestFit="1" customWidth="1"/>
    <col min="1023" max="1033" width="10.28515625" style="22" customWidth="1"/>
    <col min="1034" max="1273" width="9.140625" style="22"/>
    <col min="1274" max="1274" width="1.7109375" style="22" customWidth="1"/>
    <col min="1275" max="1275" width="19.140625" style="22" customWidth="1"/>
    <col min="1276" max="1276" width="35.140625" style="22" customWidth="1"/>
    <col min="1277" max="1277" width="9.85546875" style="22" bestFit="1" customWidth="1"/>
    <col min="1278" max="1278" width="8.85546875" style="22" bestFit="1" customWidth="1"/>
    <col min="1279" max="1289" width="10.28515625" style="22" customWidth="1"/>
    <col min="1290" max="1529" width="9.140625" style="22"/>
    <col min="1530" max="1530" width="1.7109375" style="22" customWidth="1"/>
    <col min="1531" max="1531" width="19.140625" style="22" customWidth="1"/>
    <col min="1532" max="1532" width="35.140625" style="22" customWidth="1"/>
    <col min="1533" max="1533" width="9.85546875" style="22" bestFit="1" customWidth="1"/>
    <col min="1534" max="1534" width="8.85546875" style="22" bestFit="1" customWidth="1"/>
    <col min="1535" max="1545" width="10.28515625" style="22" customWidth="1"/>
    <col min="1546" max="1785" width="9.140625" style="22"/>
    <col min="1786" max="1786" width="1.7109375" style="22" customWidth="1"/>
    <col min="1787" max="1787" width="19.140625" style="22" customWidth="1"/>
    <col min="1788" max="1788" width="35.140625" style="22" customWidth="1"/>
    <col min="1789" max="1789" width="9.85546875" style="22" bestFit="1" customWidth="1"/>
    <col min="1790" max="1790" width="8.85546875" style="22" bestFit="1" customWidth="1"/>
    <col min="1791" max="1801" width="10.28515625" style="22" customWidth="1"/>
    <col min="1802" max="2041" width="9.140625" style="22"/>
    <col min="2042" max="2042" width="1.7109375" style="22" customWidth="1"/>
    <col min="2043" max="2043" width="19.140625" style="22" customWidth="1"/>
    <col min="2044" max="2044" width="35.140625" style="22" customWidth="1"/>
    <col min="2045" max="2045" width="9.85546875" style="22" bestFit="1" customWidth="1"/>
    <col min="2046" max="2046" width="8.85546875" style="22" bestFit="1" customWidth="1"/>
    <col min="2047" max="2057" width="10.28515625" style="22" customWidth="1"/>
    <col min="2058" max="2297" width="9.140625" style="22"/>
    <col min="2298" max="2298" width="1.7109375" style="22" customWidth="1"/>
    <col min="2299" max="2299" width="19.140625" style="22" customWidth="1"/>
    <col min="2300" max="2300" width="35.140625" style="22" customWidth="1"/>
    <col min="2301" max="2301" width="9.85546875" style="22" bestFit="1" customWidth="1"/>
    <col min="2302" max="2302" width="8.85546875" style="22" bestFit="1" customWidth="1"/>
    <col min="2303" max="2313" width="10.28515625" style="22" customWidth="1"/>
    <col min="2314" max="2553" width="9.140625" style="22"/>
    <col min="2554" max="2554" width="1.7109375" style="22" customWidth="1"/>
    <col min="2555" max="2555" width="19.140625" style="22" customWidth="1"/>
    <col min="2556" max="2556" width="35.140625" style="22" customWidth="1"/>
    <col min="2557" max="2557" width="9.85546875" style="22" bestFit="1" customWidth="1"/>
    <col min="2558" max="2558" width="8.85546875" style="22" bestFit="1" customWidth="1"/>
    <col min="2559" max="2569" width="10.28515625" style="22" customWidth="1"/>
    <col min="2570" max="2809" width="9.140625" style="22"/>
    <col min="2810" max="2810" width="1.7109375" style="22" customWidth="1"/>
    <col min="2811" max="2811" width="19.140625" style="22" customWidth="1"/>
    <col min="2812" max="2812" width="35.140625" style="22" customWidth="1"/>
    <col min="2813" max="2813" width="9.85546875" style="22" bestFit="1" customWidth="1"/>
    <col min="2814" max="2814" width="8.85546875" style="22" bestFit="1" customWidth="1"/>
    <col min="2815" max="2825" width="10.28515625" style="22" customWidth="1"/>
    <col min="2826" max="3065" width="9.140625" style="22"/>
    <col min="3066" max="3066" width="1.7109375" style="22" customWidth="1"/>
    <col min="3067" max="3067" width="19.140625" style="22" customWidth="1"/>
    <col min="3068" max="3068" width="35.140625" style="22" customWidth="1"/>
    <col min="3069" max="3069" width="9.85546875" style="22" bestFit="1" customWidth="1"/>
    <col min="3070" max="3070" width="8.85546875" style="22" bestFit="1" customWidth="1"/>
    <col min="3071" max="3081" width="10.28515625" style="22" customWidth="1"/>
    <col min="3082" max="3321" width="9.140625" style="22"/>
    <col min="3322" max="3322" width="1.7109375" style="22" customWidth="1"/>
    <col min="3323" max="3323" width="19.140625" style="22" customWidth="1"/>
    <col min="3324" max="3324" width="35.140625" style="22" customWidth="1"/>
    <col min="3325" max="3325" width="9.85546875" style="22" bestFit="1" customWidth="1"/>
    <col min="3326" max="3326" width="8.85546875" style="22" bestFit="1" customWidth="1"/>
    <col min="3327" max="3337" width="10.28515625" style="22" customWidth="1"/>
    <col min="3338" max="3577" width="9.140625" style="22"/>
    <col min="3578" max="3578" width="1.7109375" style="22" customWidth="1"/>
    <col min="3579" max="3579" width="19.140625" style="22" customWidth="1"/>
    <col min="3580" max="3580" width="35.140625" style="22" customWidth="1"/>
    <col min="3581" max="3581" width="9.85546875" style="22" bestFit="1" customWidth="1"/>
    <col min="3582" max="3582" width="8.85546875" style="22" bestFit="1" customWidth="1"/>
    <col min="3583" max="3593" width="10.28515625" style="22" customWidth="1"/>
    <col min="3594" max="3833" width="9.140625" style="22"/>
    <col min="3834" max="3834" width="1.7109375" style="22" customWidth="1"/>
    <col min="3835" max="3835" width="19.140625" style="22" customWidth="1"/>
    <col min="3836" max="3836" width="35.140625" style="22" customWidth="1"/>
    <col min="3837" max="3837" width="9.85546875" style="22" bestFit="1" customWidth="1"/>
    <col min="3838" max="3838" width="8.85546875" style="22" bestFit="1" customWidth="1"/>
    <col min="3839" max="3849" width="10.28515625" style="22" customWidth="1"/>
    <col min="3850" max="4089" width="9.140625" style="22"/>
    <col min="4090" max="4090" width="1.7109375" style="22" customWidth="1"/>
    <col min="4091" max="4091" width="19.140625" style="22" customWidth="1"/>
    <col min="4092" max="4092" width="35.140625" style="22" customWidth="1"/>
    <col min="4093" max="4093" width="9.85546875" style="22" bestFit="1" customWidth="1"/>
    <col min="4094" max="4094" width="8.85546875" style="22" bestFit="1" customWidth="1"/>
    <col min="4095" max="4105" width="10.28515625" style="22" customWidth="1"/>
    <col min="4106" max="4345" width="9.140625" style="22"/>
    <col min="4346" max="4346" width="1.7109375" style="22" customWidth="1"/>
    <col min="4347" max="4347" width="19.140625" style="22" customWidth="1"/>
    <col min="4348" max="4348" width="35.140625" style="22" customWidth="1"/>
    <col min="4349" max="4349" width="9.85546875" style="22" bestFit="1" customWidth="1"/>
    <col min="4350" max="4350" width="8.85546875" style="22" bestFit="1" customWidth="1"/>
    <col min="4351" max="4361" width="10.28515625" style="22" customWidth="1"/>
    <col min="4362" max="4601" width="9.140625" style="22"/>
    <col min="4602" max="4602" width="1.7109375" style="22" customWidth="1"/>
    <col min="4603" max="4603" width="19.140625" style="22" customWidth="1"/>
    <col min="4604" max="4604" width="35.140625" style="22" customWidth="1"/>
    <col min="4605" max="4605" width="9.85546875" style="22" bestFit="1" customWidth="1"/>
    <col min="4606" max="4606" width="8.85546875" style="22" bestFit="1" customWidth="1"/>
    <col min="4607" max="4617" width="10.28515625" style="22" customWidth="1"/>
    <col min="4618" max="4857" width="9.140625" style="22"/>
    <col min="4858" max="4858" width="1.7109375" style="22" customWidth="1"/>
    <col min="4859" max="4859" width="19.140625" style="22" customWidth="1"/>
    <col min="4860" max="4860" width="35.140625" style="22" customWidth="1"/>
    <col min="4861" max="4861" width="9.85546875" style="22" bestFit="1" customWidth="1"/>
    <col min="4862" max="4862" width="8.85546875" style="22" bestFit="1" customWidth="1"/>
    <col min="4863" max="4873" width="10.28515625" style="22" customWidth="1"/>
    <col min="4874" max="5113" width="9.140625" style="22"/>
    <col min="5114" max="5114" width="1.7109375" style="22" customWidth="1"/>
    <col min="5115" max="5115" width="19.140625" style="22" customWidth="1"/>
    <col min="5116" max="5116" width="35.140625" style="22" customWidth="1"/>
    <col min="5117" max="5117" width="9.85546875" style="22" bestFit="1" customWidth="1"/>
    <col min="5118" max="5118" width="8.85546875" style="22" bestFit="1" customWidth="1"/>
    <col min="5119" max="5129" width="10.28515625" style="22" customWidth="1"/>
    <col min="5130" max="5369" width="9.140625" style="22"/>
    <col min="5370" max="5370" width="1.7109375" style="22" customWidth="1"/>
    <col min="5371" max="5371" width="19.140625" style="22" customWidth="1"/>
    <col min="5372" max="5372" width="35.140625" style="22" customWidth="1"/>
    <col min="5373" max="5373" width="9.85546875" style="22" bestFit="1" customWidth="1"/>
    <col min="5374" max="5374" width="8.85546875" style="22" bestFit="1" customWidth="1"/>
    <col min="5375" max="5385" width="10.28515625" style="22" customWidth="1"/>
    <col min="5386" max="5625" width="9.140625" style="22"/>
    <col min="5626" max="5626" width="1.7109375" style="22" customWidth="1"/>
    <col min="5627" max="5627" width="19.140625" style="22" customWidth="1"/>
    <col min="5628" max="5628" width="35.140625" style="22" customWidth="1"/>
    <col min="5629" max="5629" width="9.85546875" style="22" bestFit="1" customWidth="1"/>
    <col min="5630" max="5630" width="8.85546875" style="22" bestFit="1" customWidth="1"/>
    <col min="5631" max="5641" width="10.28515625" style="22" customWidth="1"/>
    <col min="5642" max="5881" width="9.140625" style="22"/>
    <col min="5882" max="5882" width="1.7109375" style="22" customWidth="1"/>
    <col min="5883" max="5883" width="19.140625" style="22" customWidth="1"/>
    <col min="5884" max="5884" width="35.140625" style="22" customWidth="1"/>
    <col min="5885" max="5885" width="9.85546875" style="22" bestFit="1" customWidth="1"/>
    <col min="5886" max="5886" width="8.85546875" style="22" bestFit="1" customWidth="1"/>
    <col min="5887" max="5897" width="10.28515625" style="22" customWidth="1"/>
    <col min="5898" max="6137" width="9.140625" style="22"/>
    <col min="6138" max="6138" width="1.7109375" style="22" customWidth="1"/>
    <col min="6139" max="6139" width="19.140625" style="22" customWidth="1"/>
    <col min="6140" max="6140" width="35.140625" style="22" customWidth="1"/>
    <col min="6141" max="6141" width="9.85546875" style="22" bestFit="1" customWidth="1"/>
    <col min="6142" max="6142" width="8.85546875" style="22" bestFit="1" customWidth="1"/>
    <col min="6143" max="6153" width="10.28515625" style="22" customWidth="1"/>
    <col min="6154" max="6393" width="9.140625" style="22"/>
    <col min="6394" max="6394" width="1.7109375" style="22" customWidth="1"/>
    <col min="6395" max="6395" width="19.140625" style="22" customWidth="1"/>
    <col min="6396" max="6396" width="35.140625" style="22" customWidth="1"/>
    <col min="6397" max="6397" width="9.85546875" style="22" bestFit="1" customWidth="1"/>
    <col min="6398" max="6398" width="8.85546875" style="22" bestFit="1" customWidth="1"/>
    <col min="6399" max="6409" width="10.28515625" style="22" customWidth="1"/>
    <col min="6410" max="6649" width="9.140625" style="22"/>
    <col min="6650" max="6650" width="1.7109375" style="22" customWidth="1"/>
    <col min="6651" max="6651" width="19.140625" style="22" customWidth="1"/>
    <col min="6652" max="6652" width="35.140625" style="22" customWidth="1"/>
    <col min="6653" max="6653" width="9.85546875" style="22" bestFit="1" customWidth="1"/>
    <col min="6654" max="6654" width="8.85546875" style="22" bestFit="1" customWidth="1"/>
    <col min="6655" max="6665" width="10.28515625" style="22" customWidth="1"/>
    <col min="6666" max="6905" width="9.140625" style="22"/>
    <col min="6906" max="6906" width="1.7109375" style="22" customWidth="1"/>
    <col min="6907" max="6907" width="19.140625" style="22" customWidth="1"/>
    <col min="6908" max="6908" width="35.140625" style="22" customWidth="1"/>
    <col min="6909" max="6909" width="9.85546875" style="22" bestFit="1" customWidth="1"/>
    <col min="6910" max="6910" width="8.85546875" style="22" bestFit="1" customWidth="1"/>
    <col min="6911" max="6921" width="10.28515625" style="22" customWidth="1"/>
    <col min="6922" max="7161" width="9.140625" style="22"/>
    <col min="7162" max="7162" width="1.7109375" style="22" customWidth="1"/>
    <col min="7163" max="7163" width="19.140625" style="22" customWidth="1"/>
    <col min="7164" max="7164" width="35.140625" style="22" customWidth="1"/>
    <col min="7165" max="7165" width="9.85546875" style="22" bestFit="1" customWidth="1"/>
    <col min="7166" max="7166" width="8.85546875" style="22" bestFit="1" customWidth="1"/>
    <col min="7167" max="7177" width="10.28515625" style="22" customWidth="1"/>
    <col min="7178" max="7417" width="9.140625" style="22"/>
    <col min="7418" max="7418" width="1.7109375" style="22" customWidth="1"/>
    <col min="7419" max="7419" width="19.140625" style="22" customWidth="1"/>
    <col min="7420" max="7420" width="35.140625" style="22" customWidth="1"/>
    <col min="7421" max="7421" width="9.85546875" style="22" bestFit="1" customWidth="1"/>
    <col min="7422" max="7422" width="8.85546875" style="22" bestFit="1" customWidth="1"/>
    <col min="7423" max="7433" width="10.28515625" style="22" customWidth="1"/>
    <col min="7434" max="7673" width="9.140625" style="22"/>
    <col min="7674" max="7674" width="1.7109375" style="22" customWidth="1"/>
    <col min="7675" max="7675" width="19.140625" style="22" customWidth="1"/>
    <col min="7676" max="7676" width="35.140625" style="22" customWidth="1"/>
    <col min="7677" max="7677" width="9.85546875" style="22" bestFit="1" customWidth="1"/>
    <col min="7678" max="7678" width="8.85546875" style="22" bestFit="1" customWidth="1"/>
    <col min="7679" max="7689" width="10.28515625" style="22" customWidth="1"/>
    <col min="7690" max="7929" width="9.140625" style="22"/>
    <col min="7930" max="7930" width="1.7109375" style="22" customWidth="1"/>
    <col min="7931" max="7931" width="19.140625" style="22" customWidth="1"/>
    <col min="7932" max="7932" width="35.140625" style="22" customWidth="1"/>
    <col min="7933" max="7933" width="9.85546875" style="22" bestFit="1" customWidth="1"/>
    <col min="7934" max="7934" width="8.85546875" style="22" bestFit="1" customWidth="1"/>
    <col min="7935" max="7945" width="10.28515625" style="22" customWidth="1"/>
    <col min="7946" max="8185" width="9.140625" style="22"/>
    <col min="8186" max="8186" width="1.7109375" style="22" customWidth="1"/>
    <col min="8187" max="8187" width="19.140625" style="22" customWidth="1"/>
    <col min="8188" max="8188" width="35.140625" style="22" customWidth="1"/>
    <col min="8189" max="8189" width="9.85546875" style="22" bestFit="1" customWidth="1"/>
    <col min="8190" max="8190" width="8.85546875" style="22" bestFit="1" customWidth="1"/>
    <col min="8191" max="8201" width="10.28515625" style="22" customWidth="1"/>
    <col min="8202" max="8441" width="9.140625" style="22"/>
    <col min="8442" max="8442" width="1.7109375" style="22" customWidth="1"/>
    <col min="8443" max="8443" width="19.140625" style="22" customWidth="1"/>
    <col min="8444" max="8444" width="35.140625" style="22" customWidth="1"/>
    <col min="8445" max="8445" width="9.85546875" style="22" bestFit="1" customWidth="1"/>
    <col min="8446" max="8446" width="8.85546875" style="22" bestFit="1" customWidth="1"/>
    <col min="8447" max="8457" width="10.28515625" style="22" customWidth="1"/>
    <col min="8458" max="8697" width="9.140625" style="22"/>
    <col min="8698" max="8698" width="1.7109375" style="22" customWidth="1"/>
    <col min="8699" max="8699" width="19.140625" style="22" customWidth="1"/>
    <col min="8700" max="8700" width="35.140625" style="22" customWidth="1"/>
    <col min="8701" max="8701" width="9.85546875" style="22" bestFit="1" customWidth="1"/>
    <col min="8702" max="8702" width="8.85546875" style="22" bestFit="1" customWidth="1"/>
    <col min="8703" max="8713" width="10.28515625" style="22" customWidth="1"/>
    <col min="8714" max="8953" width="9.140625" style="22"/>
    <col min="8954" max="8954" width="1.7109375" style="22" customWidth="1"/>
    <col min="8955" max="8955" width="19.140625" style="22" customWidth="1"/>
    <col min="8956" max="8956" width="35.140625" style="22" customWidth="1"/>
    <col min="8957" max="8957" width="9.85546875" style="22" bestFit="1" customWidth="1"/>
    <col min="8958" max="8958" width="8.85546875" style="22" bestFit="1" customWidth="1"/>
    <col min="8959" max="8969" width="10.28515625" style="22" customWidth="1"/>
    <col min="8970" max="9209" width="9.140625" style="22"/>
    <col min="9210" max="9210" width="1.7109375" style="22" customWidth="1"/>
    <col min="9211" max="9211" width="19.140625" style="22" customWidth="1"/>
    <col min="9212" max="9212" width="35.140625" style="22" customWidth="1"/>
    <col min="9213" max="9213" width="9.85546875" style="22" bestFit="1" customWidth="1"/>
    <col min="9214" max="9214" width="8.85546875" style="22" bestFit="1" customWidth="1"/>
    <col min="9215" max="9225" width="10.28515625" style="22" customWidth="1"/>
    <col min="9226" max="9465" width="9.140625" style="22"/>
    <col min="9466" max="9466" width="1.7109375" style="22" customWidth="1"/>
    <col min="9467" max="9467" width="19.140625" style="22" customWidth="1"/>
    <col min="9468" max="9468" width="35.140625" style="22" customWidth="1"/>
    <col min="9469" max="9469" width="9.85546875" style="22" bestFit="1" customWidth="1"/>
    <col min="9470" max="9470" width="8.85546875" style="22" bestFit="1" customWidth="1"/>
    <col min="9471" max="9481" width="10.28515625" style="22" customWidth="1"/>
    <col min="9482" max="9721" width="9.140625" style="22"/>
    <col min="9722" max="9722" width="1.7109375" style="22" customWidth="1"/>
    <col min="9723" max="9723" width="19.140625" style="22" customWidth="1"/>
    <col min="9724" max="9724" width="35.140625" style="22" customWidth="1"/>
    <col min="9725" max="9725" width="9.85546875" style="22" bestFit="1" customWidth="1"/>
    <col min="9726" max="9726" width="8.85546875" style="22" bestFit="1" customWidth="1"/>
    <col min="9727" max="9737" width="10.28515625" style="22" customWidth="1"/>
    <col min="9738" max="9977" width="9.140625" style="22"/>
    <col min="9978" max="9978" width="1.7109375" style="22" customWidth="1"/>
    <col min="9979" max="9979" width="19.140625" style="22" customWidth="1"/>
    <col min="9980" max="9980" width="35.140625" style="22" customWidth="1"/>
    <col min="9981" max="9981" width="9.85546875" style="22" bestFit="1" customWidth="1"/>
    <col min="9982" max="9982" width="8.85546875" style="22" bestFit="1" customWidth="1"/>
    <col min="9983" max="9993" width="10.28515625" style="22" customWidth="1"/>
    <col min="9994" max="10233" width="9.140625" style="22"/>
    <col min="10234" max="10234" width="1.7109375" style="22" customWidth="1"/>
    <col min="10235" max="10235" width="19.140625" style="22" customWidth="1"/>
    <col min="10236" max="10236" width="35.140625" style="22" customWidth="1"/>
    <col min="10237" max="10237" width="9.85546875" style="22" bestFit="1" customWidth="1"/>
    <col min="10238" max="10238" width="8.85546875" style="22" bestFit="1" customWidth="1"/>
    <col min="10239" max="10249" width="10.28515625" style="22" customWidth="1"/>
    <col min="10250" max="10489" width="9.140625" style="22"/>
    <col min="10490" max="10490" width="1.7109375" style="22" customWidth="1"/>
    <col min="10491" max="10491" width="19.140625" style="22" customWidth="1"/>
    <col min="10492" max="10492" width="35.140625" style="22" customWidth="1"/>
    <col min="10493" max="10493" width="9.85546875" style="22" bestFit="1" customWidth="1"/>
    <col min="10494" max="10494" width="8.85546875" style="22" bestFit="1" customWidth="1"/>
    <col min="10495" max="10505" width="10.28515625" style="22" customWidth="1"/>
    <col min="10506" max="10745" width="9.140625" style="22"/>
    <col min="10746" max="10746" width="1.7109375" style="22" customWidth="1"/>
    <col min="10747" max="10747" width="19.140625" style="22" customWidth="1"/>
    <col min="10748" max="10748" width="35.140625" style="22" customWidth="1"/>
    <col min="10749" max="10749" width="9.85546875" style="22" bestFit="1" customWidth="1"/>
    <col min="10750" max="10750" width="8.85546875" style="22" bestFit="1" customWidth="1"/>
    <col min="10751" max="10761" width="10.28515625" style="22" customWidth="1"/>
    <col min="10762" max="11001" width="9.140625" style="22"/>
    <col min="11002" max="11002" width="1.7109375" style="22" customWidth="1"/>
    <col min="11003" max="11003" width="19.140625" style="22" customWidth="1"/>
    <col min="11004" max="11004" width="35.140625" style="22" customWidth="1"/>
    <col min="11005" max="11005" width="9.85546875" style="22" bestFit="1" customWidth="1"/>
    <col min="11006" max="11006" width="8.85546875" style="22" bestFit="1" customWidth="1"/>
    <col min="11007" max="11017" width="10.28515625" style="22" customWidth="1"/>
    <col min="11018" max="11257" width="9.140625" style="22"/>
    <col min="11258" max="11258" width="1.7109375" style="22" customWidth="1"/>
    <col min="11259" max="11259" width="19.140625" style="22" customWidth="1"/>
    <col min="11260" max="11260" width="35.140625" style="22" customWidth="1"/>
    <col min="11261" max="11261" width="9.85546875" style="22" bestFit="1" customWidth="1"/>
    <col min="11262" max="11262" width="8.85546875" style="22" bestFit="1" customWidth="1"/>
    <col min="11263" max="11273" width="10.28515625" style="22" customWidth="1"/>
    <col min="11274" max="11513" width="9.140625" style="22"/>
    <col min="11514" max="11514" width="1.7109375" style="22" customWidth="1"/>
    <col min="11515" max="11515" width="19.140625" style="22" customWidth="1"/>
    <col min="11516" max="11516" width="35.140625" style="22" customWidth="1"/>
    <col min="11517" max="11517" width="9.85546875" style="22" bestFit="1" customWidth="1"/>
    <col min="11518" max="11518" width="8.85546875" style="22" bestFit="1" customWidth="1"/>
    <col min="11519" max="11529" width="10.28515625" style="22" customWidth="1"/>
    <col min="11530" max="11769" width="9.140625" style="22"/>
    <col min="11770" max="11770" width="1.7109375" style="22" customWidth="1"/>
    <col min="11771" max="11771" width="19.140625" style="22" customWidth="1"/>
    <col min="11772" max="11772" width="35.140625" style="22" customWidth="1"/>
    <col min="11773" max="11773" width="9.85546875" style="22" bestFit="1" customWidth="1"/>
    <col min="11774" max="11774" width="8.85546875" style="22" bestFit="1" customWidth="1"/>
    <col min="11775" max="11785" width="10.28515625" style="22" customWidth="1"/>
    <col min="11786" max="12025" width="9.140625" style="22"/>
    <col min="12026" max="12026" width="1.7109375" style="22" customWidth="1"/>
    <col min="12027" max="12027" width="19.140625" style="22" customWidth="1"/>
    <col min="12028" max="12028" width="35.140625" style="22" customWidth="1"/>
    <col min="12029" max="12029" width="9.85546875" style="22" bestFit="1" customWidth="1"/>
    <col min="12030" max="12030" width="8.85546875" style="22" bestFit="1" customWidth="1"/>
    <col min="12031" max="12041" width="10.28515625" style="22" customWidth="1"/>
    <col min="12042" max="12281" width="9.140625" style="22"/>
    <col min="12282" max="12282" width="1.7109375" style="22" customWidth="1"/>
    <col min="12283" max="12283" width="19.140625" style="22" customWidth="1"/>
    <col min="12284" max="12284" width="35.140625" style="22" customWidth="1"/>
    <col min="12285" max="12285" width="9.85546875" style="22" bestFit="1" customWidth="1"/>
    <col min="12286" max="12286" width="8.85546875" style="22" bestFit="1" customWidth="1"/>
    <col min="12287" max="12297" width="10.28515625" style="22" customWidth="1"/>
    <col min="12298" max="12537" width="9.140625" style="22"/>
    <col min="12538" max="12538" width="1.7109375" style="22" customWidth="1"/>
    <col min="12539" max="12539" width="19.140625" style="22" customWidth="1"/>
    <col min="12540" max="12540" width="35.140625" style="22" customWidth="1"/>
    <col min="12541" max="12541" width="9.85546875" style="22" bestFit="1" customWidth="1"/>
    <col min="12542" max="12542" width="8.85546875" style="22" bestFit="1" customWidth="1"/>
    <col min="12543" max="12553" width="10.28515625" style="22" customWidth="1"/>
    <col min="12554" max="12793" width="9.140625" style="22"/>
    <col min="12794" max="12794" width="1.7109375" style="22" customWidth="1"/>
    <col min="12795" max="12795" width="19.140625" style="22" customWidth="1"/>
    <col min="12796" max="12796" width="35.140625" style="22" customWidth="1"/>
    <col min="12797" max="12797" width="9.85546875" style="22" bestFit="1" customWidth="1"/>
    <col min="12798" max="12798" width="8.85546875" style="22" bestFit="1" customWidth="1"/>
    <col min="12799" max="12809" width="10.28515625" style="22" customWidth="1"/>
    <col min="12810" max="13049" width="9.140625" style="22"/>
    <col min="13050" max="13050" width="1.7109375" style="22" customWidth="1"/>
    <col min="13051" max="13051" width="19.140625" style="22" customWidth="1"/>
    <col min="13052" max="13052" width="35.140625" style="22" customWidth="1"/>
    <col min="13053" max="13053" width="9.85546875" style="22" bestFit="1" customWidth="1"/>
    <col min="13054" max="13054" width="8.85546875" style="22" bestFit="1" customWidth="1"/>
    <col min="13055" max="13065" width="10.28515625" style="22" customWidth="1"/>
    <col min="13066" max="13305" width="9.140625" style="22"/>
    <col min="13306" max="13306" width="1.7109375" style="22" customWidth="1"/>
    <col min="13307" max="13307" width="19.140625" style="22" customWidth="1"/>
    <col min="13308" max="13308" width="35.140625" style="22" customWidth="1"/>
    <col min="13309" max="13309" width="9.85546875" style="22" bestFit="1" customWidth="1"/>
    <col min="13310" max="13310" width="8.85546875" style="22" bestFit="1" customWidth="1"/>
    <col min="13311" max="13321" width="10.28515625" style="22" customWidth="1"/>
    <col min="13322" max="13561" width="9.140625" style="22"/>
    <col min="13562" max="13562" width="1.7109375" style="22" customWidth="1"/>
    <col min="13563" max="13563" width="19.140625" style="22" customWidth="1"/>
    <col min="13564" max="13564" width="35.140625" style="22" customWidth="1"/>
    <col min="13565" max="13565" width="9.85546875" style="22" bestFit="1" customWidth="1"/>
    <col min="13566" max="13566" width="8.85546875" style="22" bestFit="1" customWidth="1"/>
    <col min="13567" max="13577" width="10.28515625" style="22" customWidth="1"/>
    <col min="13578" max="13817" width="9.140625" style="22"/>
    <col min="13818" max="13818" width="1.7109375" style="22" customWidth="1"/>
    <col min="13819" max="13819" width="19.140625" style="22" customWidth="1"/>
    <col min="13820" max="13820" width="35.140625" style="22" customWidth="1"/>
    <col min="13821" max="13821" width="9.85546875" style="22" bestFit="1" customWidth="1"/>
    <col min="13822" max="13822" width="8.85546875" style="22" bestFit="1" customWidth="1"/>
    <col min="13823" max="13833" width="10.28515625" style="22" customWidth="1"/>
    <col min="13834" max="14073" width="9.140625" style="22"/>
    <col min="14074" max="14074" width="1.7109375" style="22" customWidth="1"/>
    <col min="14075" max="14075" width="19.140625" style="22" customWidth="1"/>
    <col min="14076" max="14076" width="35.140625" style="22" customWidth="1"/>
    <col min="14077" max="14077" width="9.85546875" style="22" bestFit="1" customWidth="1"/>
    <col min="14078" max="14078" width="8.85546875" style="22" bestFit="1" customWidth="1"/>
    <col min="14079" max="14089" width="10.28515625" style="22" customWidth="1"/>
    <col min="14090" max="14329" width="9.140625" style="22"/>
    <col min="14330" max="14330" width="1.7109375" style="22" customWidth="1"/>
    <col min="14331" max="14331" width="19.140625" style="22" customWidth="1"/>
    <col min="14332" max="14332" width="35.140625" style="22" customWidth="1"/>
    <col min="14333" max="14333" width="9.85546875" style="22" bestFit="1" customWidth="1"/>
    <col min="14334" max="14334" width="8.85546875" style="22" bestFit="1" customWidth="1"/>
    <col min="14335" max="14345" width="10.28515625" style="22" customWidth="1"/>
    <col min="14346" max="14585" width="9.140625" style="22"/>
    <col min="14586" max="14586" width="1.7109375" style="22" customWidth="1"/>
    <col min="14587" max="14587" width="19.140625" style="22" customWidth="1"/>
    <col min="14588" max="14588" width="35.140625" style="22" customWidth="1"/>
    <col min="14589" max="14589" width="9.85546875" style="22" bestFit="1" customWidth="1"/>
    <col min="14590" max="14590" width="8.85546875" style="22" bestFit="1" customWidth="1"/>
    <col min="14591" max="14601" width="10.28515625" style="22" customWidth="1"/>
    <col min="14602" max="14841" width="9.140625" style="22"/>
    <col min="14842" max="14842" width="1.7109375" style="22" customWidth="1"/>
    <col min="14843" max="14843" width="19.140625" style="22" customWidth="1"/>
    <col min="14844" max="14844" width="35.140625" style="22" customWidth="1"/>
    <col min="14845" max="14845" width="9.85546875" style="22" bestFit="1" customWidth="1"/>
    <col min="14846" max="14846" width="8.85546875" style="22" bestFit="1" customWidth="1"/>
    <col min="14847" max="14857" width="10.28515625" style="22" customWidth="1"/>
    <col min="14858" max="15097" width="9.140625" style="22"/>
    <col min="15098" max="15098" width="1.7109375" style="22" customWidth="1"/>
    <col min="15099" max="15099" width="19.140625" style="22" customWidth="1"/>
    <col min="15100" max="15100" width="35.140625" style="22" customWidth="1"/>
    <col min="15101" max="15101" width="9.85546875" style="22" bestFit="1" customWidth="1"/>
    <col min="15102" max="15102" width="8.85546875" style="22" bestFit="1" customWidth="1"/>
    <col min="15103" max="15113" width="10.28515625" style="22" customWidth="1"/>
    <col min="15114" max="15353" width="9.140625" style="22"/>
    <col min="15354" max="15354" width="1.7109375" style="22" customWidth="1"/>
    <col min="15355" max="15355" width="19.140625" style="22" customWidth="1"/>
    <col min="15356" max="15356" width="35.140625" style="22" customWidth="1"/>
    <col min="15357" max="15357" width="9.85546875" style="22" bestFit="1" customWidth="1"/>
    <col min="15358" max="15358" width="8.85546875" style="22" bestFit="1" customWidth="1"/>
    <col min="15359" max="15369" width="10.28515625" style="22" customWidth="1"/>
    <col min="15370" max="15609" width="9.140625" style="22"/>
    <col min="15610" max="15610" width="1.7109375" style="22" customWidth="1"/>
    <col min="15611" max="15611" width="19.140625" style="22" customWidth="1"/>
    <col min="15612" max="15612" width="35.140625" style="22" customWidth="1"/>
    <col min="15613" max="15613" width="9.85546875" style="22" bestFit="1" customWidth="1"/>
    <col min="15614" max="15614" width="8.85546875" style="22" bestFit="1" customWidth="1"/>
    <col min="15615" max="15625" width="10.28515625" style="22" customWidth="1"/>
    <col min="15626" max="15865" width="9.140625" style="22"/>
    <col min="15866" max="15866" width="1.7109375" style="22" customWidth="1"/>
    <col min="15867" max="15867" width="19.140625" style="22" customWidth="1"/>
    <col min="15868" max="15868" width="35.140625" style="22" customWidth="1"/>
    <col min="15869" max="15869" width="9.85546875" style="22" bestFit="1" customWidth="1"/>
    <col min="15870" max="15870" width="8.85546875" style="22" bestFit="1" customWidth="1"/>
    <col min="15871" max="15881" width="10.28515625" style="22" customWidth="1"/>
    <col min="15882" max="16121" width="9.140625" style="22"/>
    <col min="16122" max="16122" width="1.7109375" style="22" customWidth="1"/>
    <col min="16123" max="16123" width="19.140625" style="22" customWidth="1"/>
    <col min="16124" max="16124" width="35.140625" style="22" customWidth="1"/>
    <col min="16125" max="16125" width="9.85546875" style="22" bestFit="1" customWidth="1"/>
    <col min="16126" max="16126" width="8.85546875" style="22" bestFit="1" customWidth="1"/>
    <col min="16127" max="16137" width="10.28515625" style="22" customWidth="1"/>
    <col min="16138" max="16384" width="9.140625" style="22"/>
  </cols>
  <sheetData>
    <row r="1" spans="1:15" s="29" customFormat="1" ht="36" customHeight="1">
      <c r="D1" s="405" t="s">
        <v>39</v>
      </c>
      <c r="E1" s="406"/>
      <c r="F1" s="409"/>
      <c r="G1" s="415" t="s">
        <v>190</v>
      </c>
      <c r="H1" s="416"/>
      <c r="I1" s="415" t="s">
        <v>193</v>
      </c>
      <c r="J1" s="416"/>
      <c r="K1" s="415" t="s">
        <v>194</v>
      </c>
      <c r="L1" s="416"/>
      <c r="M1" s="415" t="s">
        <v>103</v>
      </c>
      <c r="N1" s="416"/>
      <c r="O1" s="178" t="s">
        <v>87</v>
      </c>
    </row>
    <row r="2" spans="1:15" s="30" customFormat="1" ht="13.5" thickBot="1">
      <c r="A2" s="31" t="s">
        <v>49</v>
      </c>
      <c r="B2" s="31" t="s">
        <v>11</v>
      </c>
      <c r="C2" s="47" t="s">
        <v>25</v>
      </c>
      <c r="D2" s="32" t="s">
        <v>26</v>
      </c>
      <c r="E2" s="32" t="s">
        <v>27</v>
      </c>
      <c r="F2" s="33" t="s">
        <v>28</v>
      </c>
      <c r="G2" s="32" t="s">
        <v>26</v>
      </c>
      <c r="H2" s="34" t="s">
        <v>27</v>
      </c>
      <c r="I2" s="35" t="s">
        <v>26</v>
      </c>
      <c r="J2" s="34" t="s">
        <v>27</v>
      </c>
      <c r="K2" s="35" t="s">
        <v>26</v>
      </c>
      <c r="L2" s="34" t="s">
        <v>27</v>
      </c>
      <c r="M2" s="35" t="s">
        <v>26</v>
      </c>
      <c r="N2" s="34" t="s">
        <v>27</v>
      </c>
      <c r="O2" s="179"/>
    </row>
    <row r="3" spans="1:15" ht="14.45" customHeight="1">
      <c r="A3" s="417" t="s">
        <v>50</v>
      </c>
      <c r="B3" s="420" t="s">
        <v>45</v>
      </c>
      <c r="C3" s="68" t="s">
        <v>29</v>
      </c>
      <c r="D3" s="69">
        <f>SUM(G3,I3,K3,M3)</f>
        <v>63715790.399999999</v>
      </c>
      <c r="E3" s="117">
        <f t="shared" ref="E3:E12" si="0">SUM(H3,J3,L3,N3)+SUM(H3,J3,L3,N3)*$O$3</f>
        <v>63715790.399999999</v>
      </c>
      <c r="F3" s="70">
        <f>E3-D3</f>
        <v>0</v>
      </c>
      <c r="G3" s="242">
        <f t="shared" ref="G3:J4" si="1">1/30*209316*4566</f>
        <v>31857895.199999999</v>
      </c>
      <c r="H3" s="73">
        <f t="shared" si="1"/>
        <v>31857895.199999999</v>
      </c>
      <c r="I3" s="242">
        <f t="shared" si="1"/>
        <v>31857895.199999999</v>
      </c>
      <c r="J3" s="73">
        <f t="shared" si="1"/>
        <v>31857895.199999999</v>
      </c>
      <c r="K3" s="71">
        <v>0</v>
      </c>
      <c r="L3" s="71">
        <v>0</v>
      </c>
      <c r="M3" s="73"/>
      <c r="N3" s="73"/>
      <c r="O3" s="180">
        <f>'Analyza citlivosti - AgendovéIS'!B2</f>
        <v>0</v>
      </c>
    </row>
    <row r="4" spans="1:15">
      <c r="A4" s="418"/>
      <c r="B4" s="421"/>
      <c r="C4" s="43" t="s">
        <v>30</v>
      </c>
      <c r="D4" s="45">
        <f t="shared" ref="D4:D12" si="2">SUM(G4,I4,K4,M4)</f>
        <v>63715790.399999999</v>
      </c>
      <c r="E4" s="117">
        <f t="shared" si="0"/>
        <v>63715790.399999999</v>
      </c>
      <c r="F4" s="48">
        <f t="shared" ref="F4:F12" si="3">E4-D4</f>
        <v>0</v>
      </c>
      <c r="G4" s="242">
        <f t="shared" si="1"/>
        <v>31857895.199999999</v>
      </c>
      <c r="H4" s="73">
        <f t="shared" si="1"/>
        <v>31857895.199999999</v>
      </c>
      <c r="I4" s="242">
        <f t="shared" si="1"/>
        <v>31857895.199999999</v>
      </c>
      <c r="J4" s="73">
        <f t="shared" si="1"/>
        <v>31857895.199999999</v>
      </c>
      <c r="K4" s="251">
        <v>0</v>
      </c>
      <c r="L4" s="73">
        <v>0</v>
      </c>
      <c r="M4" s="73"/>
      <c r="N4" s="73"/>
      <c r="O4" s="180"/>
    </row>
    <row r="5" spans="1:15">
      <c r="A5" s="418"/>
      <c r="B5" s="421"/>
      <c r="C5" s="43" t="s">
        <v>31</v>
      </c>
      <c r="D5" s="45">
        <f t="shared" si="2"/>
        <v>63715790.399999999</v>
      </c>
      <c r="E5" s="117">
        <f>SUM(H5,J5,L5,N5)+SUM(H5,J5,L5,N5)*$O$3</f>
        <v>63715790.399999999</v>
      </c>
      <c r="F5" s="48">
        <f t="shared" si="3"/>
        <v>0</v>
      </c>
      <c r="G5" s="242">
        <f t="shared" ref="G5:I11" si="4">1/30*209316*4566</f>
        <v>31857895.199999999</v>
      </c>
      <c r="H5" s="73">
        <f t="shared" si="4"/>
        <v>31857895.199999999</v>
      </c>
      <c r="I5" s="242">
        <f>1/30*209316*4566</f>
        <v>31857895.199999999</v>
      </c>
      <c r="J5" s="73">
        <f>1/30*209316*4566</f>
        <v>31857895.199999999</v>
      </c>
      <c r="K5" s="251">
        <v>0</v>
      </c>
      <c r="L5" s="73">
        <v>0</v>
      </c>
      <c r="M5" s="243"/>
      <c r="N5" s="243"/>
      <c r="O5" s="180"/>
    </row>
    <row r="6" spans="1:15">
      <c r="A6" s="418"/>
      <c r="B6" s="421"/>
      <c r="C6" s="43" t="s">
        <v>32</v>
      </c>
      <c r="D6" s="45">
        <f t="shared" si="2"/>
        <v>63715790.399999999</v>
      </c>
      <c r="E6" s="117">
        <f t="shared" si="0"/>
        <v>63715790.399999999</v>
      </c>
      <c r="F6" s="48">
        <f t="shared" si="3"/>
        <v>0</v>
      </c>
      <c r="G6" s="242">
        <f t="shared" si="4"/>
        <v>31857895.199999999</v>
      </c>
      <c r="H6" s="73">
        <f t="shared" si="4"/>
        <v>31857895.199999999</v>
      </c>
      <c r="I6" s="242">
        <f>1/30*209316*4566</f>
        <v>31857895.199999999</v>
      </c>
      <c r="J6" s="73">
        <f t="shared" ref="J6:J11" si="5">1/30*209316*4566</f>
        <v>31857895.199999999</v>
      </c>
      <c r="K6" s="251">
        <v>0</v>
      </c>
      <c r="L6" s="73">
        <v>0</v>
      </c>
      <c r="M6" s="243"/>
      <c r="N6" s="243"/>
      <c r="O6" s="180"/>
    </row>
    <row r="7" spans="1:15">
      <c r="A7" s="418"/>
      <c r="B7" s="421"/>
      <c r="C7" s="43" t="s">
        <v>33</v>
      </c>
      <c r="D7" s="45">
        <f t="shared" si="2"/>
        <v>63715790.399999999</v>
      </c>
      <c r="E7" s="117">
        <f t="shared" si="0"/>
        <v>63715790.399999999</v>
      </c>
      <c r="F7" s="48">
        <f t="shared" si="3"/>
        <v>0</v>
      </c>
      <c r="G7" s="242">
        <f t="shared" si="4"/>
        <v>31857895.199999999</v>
      </c>
      <c r="H7" s="73">
        <f t="shared" si="4"/>
        <v>31857895.199999999</v>
      </c>
      <c r="I7" s="242">
        <f t="shared" si="4"/>
        <v>31857895.199999999</v>
      </c>
      <c r="J7" s="73">
        <f t="shared" si="5"/>
        <v>31857895.199999999</v>
      </c>
      <c r="K7" s="251">
        <v>0</v>
      </c>
      <c r="L7" s="73">
        <v>0</v>
      </c>
      <c r="M7" s="243"/>
      <c r="N7" s="243"/>
      <c r="O7" s="180"/>
    </row>
    <row r="8" spans="1:15">
      <c r="A8" s="418"/>
      <c r="B8" s="421"/>
      <c r="C8" s="43" t="s">
        <v>34</v>
      </c>
      <c r="D8" s="45">
        <f t="shared" si="2"/>
        <v>63715790.399999999</v>
      </c>
      <c r="E8" s="117">
        <f t="shared" si="0"/>
        <v>63715790.399999999</v>
      </c>
      <c r="F8" s="48">
        <f t="shared" si="3"/>
        <v>0</v>
      </c>
      <c r="G8" s="242">
        <f t="shared" si="4"/>
        <v>31857895.199999999</v>
      </c>
      <c r="H8" s="73">
        <f t="shared" si="4"/>
        <v>31857895.199999999</v>
      </c>
      <c r="I8" s="242">
        <f t="shared" si="4"/>
        <v>31857895.199999999</v>
      </c>
      <c r="J8" s="73">
        <f t="shared" si="5"/>
        <v>31857895.199999999</v>
      </c>
      <c r="K8" s="251">
        <v>0</v>
      </c>
      <c r="L8" s="73">
        <v>0</v>
      </c>
      <c r="M8" s="243"/>
      <c r="N8" s="243"/>
      <c r="O8" s="180"/>
    </row>
    <row r="9" spans="1:15">
      <c r="A9" s="418"/>
      <c r="B9" s="421"/>
      <c r="C9" s="43" t="s">
        <v>35</v>
      </c>
      <c r="D9" s="45">
        <f t="shared" si="2"/>
        <v>63715790.399999999</v>
      </c>
      <c r="E9" s="117">
        <f t="shared" si="0"/>
        <v>63715790.399999999</v>
      </c>
      <c r="F9" s="48">
        <f t="shared" si="3"/>
        <v>0</v>
      </c>
      <c r="G9" s="242">
        <f t="shared" si="4"/>
        <v>31857895.199999999</v>
      </c>
      <c r="H9" s="73">
        <f t="shared" si="4"/>
        <v>31857895.199999999</v>
      </c>
      <c r="I9" s="242">
        <f t="shared" si="4"/>
        <v>31857895.199999999</v>
      </c>
      <c r="J9" s="73">
        <f t="shared" si="5"/>
        <v>31857895.199999999</v>
      </c>
      <c r="K9" s="251">
        <v>0</v>
      </c>
      <c r="L9" s="73">
        <v>0</v>
      </c>
      <c r="M9" s="243"/>
      <c r="N9" s="243"/>
      <c r="O9" s="180"/>
    </row>
    <row r="10" spans="1:15">
      <c r="A10" s="418"/>
      <c r="B10" s="421"/>
      <c r="C10" s="43" t="s">
        <v>36</v>
      </c>
      <c r="D10" s="45">
        <f t="shared" si="2"/>
        <v>63715790.399999999</v>
      </c>
      <c r="E10" s="117">
        <f t="shared" si="0"/>
        <v>63715790.399999999</v>
      </c>
      <c r="F10" s="48">
        <f t="shared" si="3"/>
        <v>0</v>
      </c>
      <c r="G10" s="242">
        <f t="shared" si="4"/>
        <v>31857895.199999999</v>
      </c>
      <c r="H10" s="73">
        <f t="shared" si="4"/>
        <v>31857895.199999999</v>
      </c>
      <c r="I10" s="242">
        <f t="shared" si="4"/>
        <v>31857895.199999999</v>
      </c>
      <c r="J10" s="73">
        <f t="shared" si="5"/>
        <v>31857895.199999999</v>
      </c>
      <c r="K10" s="251">
        <v>0</v>
      </c>
      <c r="L10" s="73">
        <v>0</v>
      </c>
      <c r="M10" s="243"/>
      <c r="N10" s="243"/>
      <c r="O10" s="180"/>
    </row>
    <row r="11" spans="1:15">
      <c r="A11" s="418"/>
      <c r="B11" s="421"/>
      <c r="C11" s="43" t="s">
        <v>37</v>
      </c>
      <c r="D11" s="45">
        <f t="shared" si="2"/>
        <v>63715790.399999999</v>
      </c>
      <c r="E11" s="117">
        <f t="shared" si="0"/>
        <v>63715790.399999999</v>
      </c>
      <c r="F11" s="48">
        <f t="shared" si="3"/>
        <v>0</v>
      </c>
      <c r="G11" s="242">
        <f t="shared" si="4"/>
        <v>31857895.199999999</v>
      </c>
      <c r="H11" s="73">
        <f t="shared" si="4"/>
        <v>31857895.199999999</v>
      </c>
      <c r="I11" s="242">
        <f t="shared" si="4"/>
        <v>31857895.199999999</v>
      </c>
      <c r="J11" s="73">
        <f t="shared" si="5"/>
        <v>31857895.199999999</v>
      </c>
      <c r="K11" s="251">
        <v>0</v>
      </c>
      <c r="L11" s="73">
        <v>0</v>
      </c>
      <c r="M11" s="243"/>
      <c r="N11" s="243"/>
      <c r="O11" s="180"/>
    </row>
    <row r="12" spans="1:15" ht="15.75" thickBot="1">
      <c r="A12" s="419"/>
      <c r="B12" s="422"/>
      <c r="C12" s="75" t="s">
        <v>38</v>
      </c>
      <c r="D12" s="76">
        <f t="shared" si="2"/>
        <v>63715790.399999999</v>
      </c>
      <c r="E12" s="77">
        <f t="shared" si="0"/>
        <v>63715790.399999999</v>
      </c>
      <c r="F12" s="78">
        <f t="shared" si="3"/>
        <v>0</v>
      </c>
      <c r="G12" s="79">
        <f>1/30*209316*4566</f>
        <v>31857895.199999999</v>
      </c>
      <c r="H12" s="361">
        <f>1/30*209316*4566</f>
        <v>31857895.199999999</v>
      </c>
      <c r="I12" s="360">
        <f>1/30*209316*4566</f>
        <v>31857895.199999999</v>
      </c>
      <c r="J12" s="79">
        <f>1/30*209316*4566</f>
        <v>31857895.199999999</v>
      </c>
      <c r="K12" s="251">
        <v>0</v>
      </c>
      <c r="L12" s="73">
        <v>0</v>
      </c>
      <c r="M12" s="245"/>
      <c r="N12" s="245"/>
      <c r="O12" s="180"/>
    </row>
    <row r="13" spans="1:15" s="24" customFormat="1" ht="12.75" customHeight="1">
      <c r="A13" s="417" t="s">
        <v>51</v>
      </c>
      <c r="B13" s="420" t="s">
        <v>14</v>
      </c>
      <c r="C13" s="68" t="s">
        <v>29</v>
      </c>
      <c r="D13" s="81">
        <f t="shared" ref="D13:D22" si="6">IF(ISERR((G13*G3+I13*I3+K13*K3+M13*M3)/SUM(G3,I3,K3,M3)),"-",(G13*G3+I13*I3+K13*K3+M13*M3)/SUM(G3,I3,K3,M3))</f>
        <v>0</v>
      </c>
      <c r="E13" s="122">
        <f>IF(ISERR((H13*H3+J13*J3+L13*L3+N13*N3)/SUM(H3,J3,L3,N3)+((H13*H3+J13*J3+L13*L3+N13*N3)/SUM(H3,J3,L3,N3))*$O$13),"-",(H13*H3+J13*J3+L13*L3+N13*N3)/SUM(H3,J3,L3,N3)+((H13*H3+J13*J3+L13*L3+N13*N3)/SUM(H3,J3,L3,N3))*$O$13)</f>
        <v>0</v>
      </c>
      <c r="F13" s="59">
        <f>IF(ISERR(E13-D13),"-",E13-D13)</f>
        <v>0</v>
      </c>
      <c r="G13" s="259">
        <v>0</v>
      </c>
      <c r="H13" s="259">
        <v>0</v>
      </c>
      <c r="I13" s="259">
        <v>0</v>
      </c>
      <c r="J13" s="259">
        <v>0</v>
      </c>
      <c r="K13" s="71">
        <v>0</v>
      </c>
      <c r="L13" s="71">
        <v>0</v>
      </c>
      <c r="M13" s="71"/>
      <c r="N13" s="71"/>
      <c r="O13" s="181">
        <f>'Analyza citlivosti - AgendovéIS'!B4</f>
        <v>0</v>
      </c>
    </row>
    <row r="14" spans="1:15" s="12" customFormat="1">
      <c r="A14" s="418"/>
      <c r="B14" s="421"/>
      <c r="C14" s="43" t="s">
        <v>30</v>
      </c>
      <c r="D14" s="46">
        <f t="shared" si="6"/>
        <v>0</v>
      </c>
      <c r="E14" s="44">
        <f t="shared" ref="E14:E22" si="7">IF(ISERR((H14*H4+J14*J4+L14*L4+N14*N4)/SUM(H4,J4,L4,N4)+((H14*H4+J14*J4+L14*L4+N14*N4)/SUM(H4,J4,L4,N4))*$O$13),"-",(H14*H4+J14*J4+L14*L4+N14*N4)/SUM(H4,J4,L4,N4)+((H14*H4+J14*J4+L14*L4+N14*N4)/SUM(H4,J4,L4,N4))*$O$13)</f>
        <v>0</v>
      </c>
      <c r="F14" s="49">
        <f t="shared" ref="F14:F22" si="8">IF(ISERR(E14-D14),"-",E14-D14)</f>
        <v>0</v>
      </c>
      <c r="G14" s="260">
        <v>0</v>
      </c>
      <c r="H14" s="260">
        <v>0</v>
      </c>
      <c r="I14" s="260">
        <v>0</v>
      </c>
      <c r="J14" s="260">
        <v>0</v>
      </c>
      <c r="K14" s="251">
        <v>0</v>
      </c>
      <c r="L14" s="73">
        <v>0</v>
      </c>
      <c r="M14" s="73"/>
      <c r="N14" s="73"/>
      <c r="O14" s="182"/>
    </row>
    <row r="15" spans="1:15" s="12" customFormat="1">
      <c r="A15" s="418"/>
      <c r="B15" s="421"/>
      <c r="C15" s="43" t="s">
        <v>31</v>
      </c>
      <c r="D15" s="46">
        <f t="shared" si="6"/>
        <v>0</v>
      </c>
      <c r="E15" s="44">
        <f t="shared" si="7"/>
        <v>0</v>
      </c>
      <c r="F15" s="49">
        <f t="shared" si="8"/>
        <v>0</v>
      </c>
      <c r="G15" s="260">
        <v>0</v>
      </c>
      <c r="H15" s="260">
        <v>0</v>
      </c>
      <c r="I15" s="260">
        <v>0</v>
      </c>
      <c r="J15" s="260">
        <v>0</v>
      </c>
      <c r="K15" s="251">
        <v>0</v>
      </c>
      <c r="L15" s="73">
        <v>0</v>
      </c>
      <c r="M15" s="73"/>
      <c r="N15" s="73"/>
      <c r="O15" s="182"/>
    </row>
    <row r="16" spans="1:15" s="12" customFormat="1">
      <c r="A16" s="418"/>
      <c r="B16" s="421"/>
      <c r="C16" s="43" t="s">
        <v>32</v>
      </c>
      <c r="D16" s="46">
        <f t="shared" si="6"/>
        <v>0</v>
      </c>
      <c r="E16" s="44">
        <f t="shared" si="7"/>
        <v>0</v>
      </c>
      <c r="F16" s="49">
        <f t="shared" si="8"/>
        <v>0</v>
      </c>
      <c r="G16" s="260">
        <v>0</v>
      </c>
      <c r="H16" s="260">
        <v>0</v>
      </c>
      <c r="I16" s="260">
        <v>0</v>
      </c>
      <c r="J16" s="260">
        <v>0</v>
      </c>
      <c r="K16" s="251">
        <v>0</v>
      </c>
      <c r="L16" s="73">
        <v>0</v>
      </c>
      <c r="M16" s="73"/>
      <c r="N16" s="73"/>
      <c r="O16" s="182"/>
    </row>
    <row r="17" spans="1:18" s="12" customFormat="1">
      <c r="A17" s="418"/>
      <c r="B17" s="421"/>
      <c r="C17" s="43" t="s">
        <v>33</v>
      </c>
      <c r="D17" s="46">
        <f t="shared" si="6"/>
        <v>0</v>
      </c>
      <c r="E17" s="44">
        <f t="shared" si="7"/>
        <v>0</v>
      </c>
      <c r="F17" s="49">
        <f t="shared" si="8"/>
        <v>0</v>
      </c>
      <c r="G17" s="260">
        <v>0</v>
      </c>
      <c r="H17" s="260">
        <v>0</v>
      </c>
      <c r="I17" s="260">
        <v>0</v>
      </c>
      <c r="J17" s="260">
        <v>0</v>
      </c>
      <c r="K17" s="251">
        <v>0</v>
      </c>
      <c r="L17" s="73">
        <v>0</v>
      </c>
      <c r="M17" s="73"/>
      <c r="N17" s="73"/>
      <c r="O17" s="182"/>
    </row>
    <row r="18" spans="1:18" s="12" customFormat="1">
      <c r="A18" s="418"/>
      <c r="B18" s="421"/>
      <c r="C18" s="43" t="s">
        <v>34</v>
      </c>
      <c r="D18" s="46">
        <f t="shared" si="6"/>
        <v>0</v>
      </c>
      <c r="E18" s="44">
        <f t="shared" si="7"/>
        <v>0</v>
      </c>
      <c r="F18" s="49">
        <f t="shared" si="8"/>
        <v>0</v>
      </c>
      <c r="G18" s="260">
        <v>0</v>
      </c>
      <c r="H18" s="260">
        <v>0</v>
      </c>
      <c r="I18" s="260">
        <v>0</v>
      </c>
      <c r="J18" s="260">
        <v>0</v>
      </c>
      <c r="K18" s="251">
        <v>0</v>
      </c>
      <c r="L18" s="73">
        <v>0</v>
      </c>
      <c r="M18" s="73"/>
      <c r="N18" s="73"/>
      <c r="O18" s="182"/>
    </row>
    <row r="19" spans="1:18" s="12" customFormat="1">
      <c r="A19" s="418"/>
      <c r="B19" s="421"/>
      <c r="C19" s="43" t="s">
        <v>35</v>
      </c>
      <c r="D19" s="46">
        <f t="shared" si="6"/>
        <v>0</v>
      </c>
      <c r="E19" s="44">
        <f t="shared" si="7"/>
        <v>0</v>
      </c>
      <c r="F19" s="49">
        <f t="shared" si="8"/>
        <v>0</v>
      </c>
      <c r="G19" s="260">
        <v>0</v>
      </c>
      <c r="H19" s="260">
        <v>0</v>
      </c>
      <c r="I19" s="260">
        <v>0</v>
      </c>
      <c r="J19" s="260">
        <v>0</v>
      </c>
      <c r="K19" s="251">
        <v>0</v>
      </c>
      <c r="L19" s="73">
        <v>0</v>
      </c>
      <c r="M19" s="73"/>
      <c r="N19" s="73"/>
      <c r="O19" s="182"/>
    </row>
    <row r="20" spans="1:18" s="12" customFormat="1">
      <c r="A20" s="418"/>
      <c r="B20" s="421"/>
      <c r="C20" s="43" t="s">
        <v>36</v>
      </c>
      <c r="D20" s="46">
        <f t="shared" si="6"/>
        <v>0</v>
      </c>
      <c r="E20" s="44">
        <f t="shared" si="7"/>
        <v>0</v>
      </c>
      <c r="F20" s="49">
        <f t="shared" si="8"/>
        <v>0</v>
      </c>
      <c r="G20" s="260">
        <v>0</v>
      </c>
      <c r="H20" s="260">
        <v>0</v>
      </c>
      <c r="I20" s="260">
        <v>0</v>
      </c>
      <c r="J20" s="260">
        <v>0</v>
      </c>
      <c r="K20" s="251">
        <v>0</v>
      </c>
      <c r="L20" s="73">
        <v>0</v>
      </c>
      <c r="M20" s="73"/>
      <c r="N20" s="73"/>
      <c r="O20" s="182"/>
    </row>
    <row r="21" spans="1:18" s="12" customFormat="1">
      <c r="A21" s="418"/>
      <c r="B21" s="421"/>
      <c r="C21" s="43" t="s">
        <v>37</v>
      </c>
      <c r="D21" s="46">
        <f t="shared" si="6"/>
        <v>0</v>
      </c>
      <c r="E21" s="44">
        <f t="shared" si="7"/>
        <v>0</v>
      </c>
      <c r="F21" s="49">
        <f t="shared" si="8"/>
        <v>0</v>
      </c>
      <c r="G21" s="260">
        <v>0</v>
      </c>
      <c r="H21" s="260">
        <v>0</v>
      </c>
      <c r="I21" s="260">
        <v>0</v>
      </c>
      <c r="J21" s="260">
        <v>0</v>
      </c>
      <c r="K21" s="251">
        <v>0</v>
      </c>
      <c r="L21" s="73">
        <v>0</v>
      </c>
      <c r="M21" s="73"/>
      <c r="N21" s="73"/>
      <c r="O21" s="182"/>
    </row>
    <row r="22" spans="1:18" s="12" customFormat="1" ht="15.75" thickBot="1">
      <c r="A22" s="419"/>
      <c r="B22" s="422"/>
      <c r="C22" s="75" t="s">
        <v>38</v>
      </c>
      <c r="D22" s="64">
        <f t="shared" si="6"/>
        <v>0</v>
      </c>
      <c r="E22" s="62">
        <f t="shared" si="7"/>
        <v>0</v>
      </c>
      <c r="F22" s="63">
        <f t="shared" si="8"/>
        <v>0</v>
      </c>
      <c r="G22" s="261">
        <v>0</v>
      </c>
      <c r="H22" s="261">
        <v>0</v>
      </c>
      <c r="I22" s="261">
        <v>0</v>
      </c>
      <c r="J22" s="261">
        <v>0</v>
      </c>
      <c r="K22" s="251">
        <v>0</v>
      </c>
      <c r="L22" s="73">
        <v>0</v>
      </c>
      <c r="M22" s="79"/>
      <c r="N22" s="79"/>
      <c r="O22" s="182"/>
    </row>
    <row r="23" spans="1:18" s="24" customFormat="1" ht="14.45" customHeight="1">
      <c r="A23" s="417" t="s">
        <v>163</v>
      </c>
      <c r="B23" s="420" t="s">
        <v>46</v>
      </c>
      <c r="C23" s="68" t="s">
        <v>29</v>
      </c>
      <c r="D23" s="81">
        <f t="shared" ref="D23:D32" si="9">IF(ISERR((G23*G3+I23*I3+K23*K3+M23*M3)/SUM(G3,I3,K3,M3)),"-",(G23*G3+I23*I3+K23*K3+M23*M3)/SUM(G3,I3,K3,M3))</f>
        <v>0.25</v>
      </c>
      <c r="E23" s="122">
        <f t="shared" ref="E23:E32" si="10">IF(ISERR((H23*H3+J23*J3+L23*L3+N23*N3)/SUM(H3,J3,L3,N3) + ((H23*H3+J23*J3+L23*L3+N23*N3)/SUM(H3,J3,L3,N3))*$O$23),"-",(H23*H3+J23*J3+L23*L3+N23*N3)/SUM(H3,J3,L3,N3)+ ((H23*H3+J23*J3+L23*L3+N23*N3)/SUM(H3,J3,L3,N3))*$O$23)</f>
        <v>0.25</v>
      </c>
      <c r="F23" s="59">
        <f>IF(ISERR(E23-D23),"-",E23-D23)</f>
        <v>0</v>
      </c>
      <c r="G23" s="71">
        <v>0</v>
      </c>
      <c r="H23" s="71">
        <v>0</v>
      </c>
      <c r="I23" s="71">
        <f>0.5</f>
        <v>0.5</v>
      </c>
      <c r="J23" s="71">
        <f>0.5</f>
        <v>0.5</v>
      </c>
      <c r="K23" s="71">
        <v>0</v>
      </c>
      <c r="L23" s="71">
        <v>0</v>
      </c>
      <c r="M23" s="71"/>
      <c r="N23" s="71"/>
      <c r="O23" s="181">
        <f>'Analyza citlivosti - AgendovéIS'!B6</f>
        <v>0</v>
      </c>
    </row>
    <row r="24" spans="1:18" s="12" customFormat="1">
      <c r="A24" s="418"/>
      <c r="B24" s="421"/>
      <c r="C24" s="43" t="s">
        <v>30</v>
      </c>
      <c r="D24" s="46">
        <f t="shared" si="9"/>
        <v>0.25</v>
      </c>
      <c r="E24" s="44">
        <f>IF(ISERR((H24*H4+J24*J4+L24*L4+N24*N4)/SUM(H4,J4,L4,N4) + ((H24*H4+J24*J4+L24*L4+N24*N4)/SUM(H4,J4,L4,N4))*$O$23),"-",(H24*H4+J24*J4+L24*L4+N24*N4)/SUM(H4,J4,L4,N4)+ ((H24*H4+J24*J4+L24*L4+N24*N4)/SUM(H4,J4,L4,N4))*$O$23)</f>
        <v>0.25</v>
      </c>
      <c r="F24" s="49">
        <f t="shared" ref="F24:F32" si="11">IF(ISERR(E24-D24),"-",E24-D24)</f>
        <v>0</v>
      </c>
      <c r="G24" s="251">
        <v>0</v>
      </c>
      <c r="H24" s="73">
        <v>0</v>
      </c>
      <c r="I24" s="73">
        <f>0.5</f>
        <v>0.5</v>
      </c>
      <c r="J24" s="73">
        <f>0.5</f>
        <v>0.5</v>
      </c>
      <c r="K24" s="251">
        <v>0</v>
      </c>
      <c r="L24" s="73">
        <v>0</v>
      </c>
      <c r="M24" s="73"/>
      <c r="N24" s="73"/>
      <c r="O24" s="182"/>
    </row>
    <row r="25" spans="1:18" s="12" customFormat="1">
      <c r="A25" s="418"/>
      <c r="B25" s="421"/>
      <c r="C25" s="43" t="s">
        <v>31</v>
      </c>
      <c r="D25" s="46">
        <f t="shared" si="9"/>
        <v>0.25</v>
      </c>
      <c r="E25" s="44">
        <f t="shared" si="10"/>
        <v>0.25</v>
      </c>
      <c r="F25" s="49">
        <f t="shared" si="11"/>
        <v>0</v>
      </c>
      <c r="G25" s="251">
        <v>0</v>
      </c>
      <c r="H25" s="73">
        <v>0</v>
      </c>
      <c r="I25" s="73">
        <f t="shared" ref="I25:I31" si="12">0.5</f>
        <v>0.5</v>
      </c>
      <c r="J25" s="73">
        <f>0.5</f>
        <v>0.5</v>
      </c>
      <c r="K25" s="251">
        <v>0</v>
      </c>
      <c r="L25" s="73">
        <v>0</v>
      </c>
      <c r="M25" s="73"/>
      <c r="N25" s="73"/>
      <c r="O25" s="182"/>
    </row>
    <row r="26" spans="1:18" s="12" customFormat="1">
      <c r="A26" s="418"/>
      <c r="B26" s="421"/>
      <c r="C26" s="43" t="s">
        <v>32</v>
      </c>
      <c r="D26" s="46">
        <f t="shared" si="9"/>
        <v>0.25</v>
      </c>
      <c r="E26" s="44">
        <f t="shared" si="10"/>
        <v>0.25</v>
      </c>
      <c r="F26" s="49">
        <f t="shared" si="11"/>
        <v>0</v>
      </c>
      <c r="G26" s="251">
        <v>0</v>
      </c>
      <c r="H26" s="73">
        <v>0</v>
      </c>
      <c r="I26" s="73">
        <f t="shared" si="12"/>
        <v>0.5</v>
      </c>
      <c r="J26" s="73">
        <f>0.5</f>
        <v>0.5</v>
      </c>
      <c r="K26" s="251">
        <v>0</v>
      </c>
      <c r="L26" s="73">
        <v>0</v>
      </c>
      <c r="M26" s="73"/>
      <c r="N26" s="73"/>
      <c r="O26" s="182"/>
    </row>
    <row r="27" spans="1:18" s="12" customFormat="1">
      <c r="A27" s="418"/>
      <c r="B27" s="421"/>
      <c r="C27" s="43" t="s">
        <v>33</v>
      </c>
      <c r="D27" s="46">
        <f t="shared" si="9"/>
        <v>0.25</v>
      </c>
      <c r="E27" s="44">
        <f t="shared" si="10"/>
        <v>0.245</v>
      </c>
      <c r="F27" s="49">
        <f t="shared" si="11"/>
        <v>-5.0000000000000044E-3</v>
      </c>
      <c r="G27" s="251">
        <v>0</v>
      </c>
      <c r="H27" s="73">
        <v>0</v>
      </c>
      <c r="I27" s="73">
        <f t="shared" si="12"/>
        <v>0.5</v>
      </c>
      <c r="J27" s="73">
        <f>0.5*0.98</f>
        <v>0.49</v>
      </c>
      <c r="K27" s="251">
        <v>0</v>
      </c>
      <c r="L27" s="73">
        <v>0</v>
      </c>
      <c r="M27" s="73"/>
      <c r="N27" s="73"/>
      <c r="O27" s="182"/>
    </row>
    <row r="28" spans="1:18" s="12" customFormat="1">
      <c r="A28" s="418"/>
      <c r="B28" s="421"/>
      <c r="C28" s="43" t="s">
        <v>34</v>
      </c>
      <c r="D28" s="46">
        <f t="shared" si="9"/>
        <v>0.25</v>
      </c>
      <c r="E28" s="44">
        <f t="shared" si="10"/>
        <v>0.24009999999999998</v>
      </c>
      <c r="F28" s="49">
        <f t="shared" si="11"/>
        <v>-9.9000000000000199E-3</v>
      </c>
      <c r="G28" s="251">
        <v>0</v>
      </c>
      <c r="H28" s="73">
        <v>0</v>
      </c>
      <c r="I28" s="73">
        <f t="shared" si="12"/>
        <v>0.5</v>
      </c>
      <c r="J28" s="73">
        <f>0.5*0.98*0.98</f>
        <v>0.48019999999999996</v>
      </c>
      <c r="K28" s="251">
        <v>0</v>
      </c>
      <c r="L28" s="73">
        <v>0</v>
      </c>
      <c r="M28" s="73"/>
      <c r="N28" s="73"/>
      <c r="O28" s="182"/>
      <c r="Q28" s="357">
        <f>1-I32/I23</f>
        <v>0</v>
      </c>
      <c r="R28" s="357">
        <f>1-J32/J23</f>
        <v>9.6079203200000185E-2</v>
      </c>
    </row>
    <row r="29" spans="1:18" s="12" customFormat="1">
      <c r="A29" s="418"/>
      <c r="B29" s="421"/>
      <c r="C29" s="43" t="s">
        <v>35</v>
      </c>
      <c r="D29" s="46">
        <f t="shared" si="9"/>
        <v>0.25</v>
      </c>
      <c r="E29" s="44">
        <f t="shared" si="10"/>
        <v>0.23529799999999998</v>
      </c>
      <c r="F29" s="49">
        <f t="shared" si="11"/>
        <v>-1.4702000000000021E-2</v>
      </c>
      <c r="G29" s="251">
        <v>0</v>
      </c>
      <c r="H29" s="73">
        <v>0</v>
      </c>
      <c r="I29" s="73">
        <f t="shared" si="12"/>
        <v>0.5</v>
      </c>
      <c r="J29" s="73">
        <f>0.5*0.98*0.98*0.98</f>
        <v>0.47059599999999996</v>
      </c>
      <c r="K29" s="251">
        <v>0</v>
      </c>
      <c r="L29" s="73">
        <v>0</v>
      </c>
      <c r="M29" s="73"/>
      <c r="N29" s="73"/>
      <c r="O29" s="182"/>
      <c r="Q29" s="357"/>
      <c r="R29" s="357"/>
    </row>
    <row r="30" spans="1:18" s="12" customFormat="1">
      <c r="A30" s="418"/>
      <c r="B30" s="421"/>
      <c r="C30" s="43" t="s">
        <v>36</v>
      </c>
      <c r="D30" s="46">
        <f t="shared" si="9"/>
        <v>0.25</v>
      </c>
      <c r="E30" s="44">
        <f t="shared" si="10"/>
        <v>0.23059203999999997</v>
      </c>
      <c r="F30" s="49">
        <f t="shared" si="11"/>
        <v>-1.940796000000003E-2</v>
      </c>
      <c r="G30" s="251">
        <v>0</v>
      </c>
      <c r="H30" s="73">
        <v>0</v>
      </c>
      <c r="I30" s="73">
        <f t="shared" si="12"/>
        <v>0.5</v>
      </c>
      <c r="J30" s="73">
        <f>0.5*0.98*0.98*0.98*0.98</f>
        <v>0.46118407999999994</v>
      </c>
      <c r="K30" s="251">
        <v>0</v>
      </c>
      <c r="L30" s="73">
        <v>0</v>
      </c>
      <c r="M30" s="73"/>
      <c r="N30" s="73"/>
      <c r="O30" s="182"/>
    </row>
    <row r="31" spans="1:18" s="12" customFormat="1">
      <c r="A31" s="418"/>
      <c r="B31" s="421"/>
      <c r="C31" s="43" t="s">
        <v>37</v>
      </c>
      <c r="D31" s="46">
        <f t="shared" si="9"/>
        <v>0.25</v>
      </c>
      <c r="E31" s="44">
        <f t="shared" si="10"/>
        <v>0.22598019919999995</v>
      </c>
      <c r="F31" s="49">
        <f t="shared" si="11"/>
        <v>-2.4019800800000046E-2</v>
      </c>
      <c r="G31" s="251">
        <v>0</v>
      </c>
      <c r="H31" s="73">
        <v>0</v>
      </c>
      <c r="I31" s="73">
        <f t="shared" si="12"/>
        <v>0.5</v>
      </c>
      <c r="J31" s="73">
        <f>0.5*0.98*0.98*0.98*0.98*0.98</f>
        <v>0.45196039839999991</v>
      </c>
      <c r="K31" s="251">
        <v>0</v>
      </c>
      <c r="L31" s="73">
        <v>0</v>
      </c>
      <c r="M31" s="73"/>
      <c r="N31" s="73"/>
      <c r="O31" s="182"/>
    </row>
    <row r="32" spans="1:18" s="12" customFormat="1" ht="15.75" thickBot="1">
      <c r="A32" s="419"/>
      <c r="B32" s="422"/>
      <c r="C32" s="75" t="s">
        <v>38</v>
      </c>
      <c r="D32" s="64">
        <f t="shared" si="9"/>
        <v>0.25</v>
      </c>
      <c r="E32" s="62">
        <f t="shared" si="10"/>
        <v>0.22598019919999995</v>
      </c>
      <c r="F32" s="63">
        <f t="shared" si="11"/>
        <v>-2.4019800800000046E-2</v>
      </c>
      <c r="G32" s="251">
        <v>0</v>
      </c>
      <c r="H32" s="73">
        <v>0</v>
      </c>
      <c r="I32" s="79">
        <f>0.5</f>
        <v>0.5</v>
      </c>
      <c r="J32" s="79">
        <f>0.5*0.98*0.98*0.98*0.98*0.98</f>
        <v>0.45196039839999991</v>
      </c>
      <c r="K32" s="251">
        <v>0</v>
      </c>
      <c r="L32" s="73">
        <v>0</v>
      </c>
      <c r="M32" s="79"/>
      <c r="N32" s="79"/>
      <c r="O32" s="182"/>
    </row>
    <row r="33" spans="1:18" s="24" customFormat="1" ht="14.45" customHeight="1">
      <c r="A33" s="417" t="s">
        <v>52</v>
      </c>
      <c r="B33" s="420" t="s">
        <v>46</v>
      </c>
      <c r="C33" s="68" t="s">
        <v>29</v>
      </c>
      <c r="D33" s="81">
        <f>IF(ISERR((G33*G3+I33*I3+K33*K3+M33*M3)/SUM(G3,I3,K3,M3)),"-",(G33*G3+I33*I3+K33*K3+M33*M3)/SUM(G3,I3,K3,M3))</f>
        <v>0.3</v>
      </c>
      <c r="E33" s="122">
        <f t="shared" ref="E33:E42" si="13">IF(ISERR((H33*H3+J33*J3+L33*L3+N33*N3)/SUM(H3,J3,L3,N3)+((H33*H3+J33*J3+L33*L3+N33*N3)/SUM(H3,J3,L3,N3))*$O$33),"-",(H33*H3+J33*J3+L33*L3+N33*N3)/SUM(H3,J3,L3,N3)+((H33*H3+J33*J3+L33*L3+N33*N3)/SUM(H3,J3,L3,N3))*$O$33)</f>
        <v>0.3</v>
      </c>
      <c r="F33" s="59">
        <f>IF(ISERR(E33-D33),"-",E33-D33)</f>
        <v>0</v>
      </c>
      <c r="G33" s="71">
        <f>0.6</f>
        <v>0.6</v>
      </c>
      <c r="H33" s="71">
        <f>0.6</f>
        <v>0.6</v>
      </c>
      <c r="I33" s="268">
        <v>0</v>
      </c>
      <c r="J33" s="269">
        <v>0</v>
      </c>
      <c r="K33" s="268">
        <v>0</v>
      </c>
      <c r="L33" s="269">
        <v>0</v>
      </c>
      <c r="M33" s="71"/>
      <c r="N33" s="71"/>
      <c r="O33" s="181">
        <f>'Analyza citlivosti - AgendovéIS'!B8</f>
        <v>0</v>
      </c>
    </row>
    <row r="34" spans="1:18" s="12" customFormat="1">
      <c r="A34" s="418"/>
      <c r="B34" s="421"/>
      <c r="C34" s="43" t="s">
        <v>30</v>
      </c>
      <c r="D34" s="46">
        <f t="shared" ref="D34:D42" si="14">IF(ISERR((G34*G4+I34*I4+K34*K4+M34*M4)/SUM(G4,I4,K4,M4)),"-",(G34*G4+I34*I4+K34*K4+M34*M4)/SUM(G4,I4,K4,M4))</f>
        <v>0.3</v>
      </c>
      <c r="E34" s="44">
        <f t="shared" si="13"/>
        <v>0.3</v>
      </c>
      <c r="F34" s="49">
        <f t="shared" ref="F34:F42" si="15">IF(ISERR(E34-D34),"-",E34-D34)</f>
        <v>0</v>
      </c>
      <c r="G34" s="251">
        <f>0.6</f>
        <v>0.6</v>
      </c>
      <c r="H34" s="251">
        <f>0.6</f>
        <v>0.6</v>
      </c>
      <c r="I34" s="270">
        <v>0</v>
      </c>
      <c r="J34" s="271">
        <v>0</v>
      </c>
      <c r="K34" s="270">
        <v>0</v>
      </c>
      <c r="L34" s="271">
        <v>0</v>
      </c>
      <c r="M34" s="73"/>
      <c r="N34" s="73"/>
      <c r="O34" s="182"/>
    </row>
    <row r="35" spans="1:18" s="12" customFormat="1">
      <c r="A35" s="418"/>
      <c r="B35" s="421"/>
      <c r="C35" s="43" t="s">
        <v>31</v>
      </c>
      <c r="D35" s="46">
        <f>IF(ISERR((G35*G5+I35*I5+K35*K5+M35*M5)/SUM(G5,I5,K5,M5)),"-",(G35*G5+I35*I5+K35*K5+M35*M5)/SUM(G5,I5,K5,M5))</f>
        <v>0.3</v>
      </c>
      <c r="E35" s="44">
        <f>IF(ISERR((H35*H5+J35*J5+L35*L5+N35*N5)/SUM(H5,J5,L5,N5)+((H35*H5+J35*J5+L35*L5+N35*N5)/SUM(H5,J5,L5,N5))*$O$33),"-",(H35*H5+J35*J5+L35*L5+N35*N5)/SUM(H5,J5,L5,N5)+((H35*H5+J35*J5+L35*L5+N35*N5)/SUM(H5,J5,L5,N5))*$O$33)</f>
        <v>0.29399999999999998</v>
      </c>
      <c r="F35" s="49">
        <f t="shared" si="15"/>
        <v>-6.0000000000000053E-3</v>
      </c>
      <c r="G35" s="251">
        <f>0.6</f>
        <v>0.6</v>
      </c>
      <c r="H35" s="251">
        <f>0.6*0.98</f>
        <v>0.58799999999999997</v>
      </c>
      <c r="I35" s="270">
        <v>0</v>
      </c>
      <c r="J35" s="271">
        <v>0</v>
      </c>
      <c r="K35" s="270">
        <v>0</v>
      </c>
      <c r="L35" s="271">
        <v>0</v>
      </c>
      <c r="M35" s="73"/>
      <c r="N35" s="73"/>
      <c r="O35" s="182"/>
    </row>
    <row r="36" spans="1:18" s="12" customFormat="1">
      <c r="A36" s="418"/>
      <c r="B36" s="421"/>
      <c r="C36" s="43" t="s">
        <v>32</v>
      </c>
      <c r="D36" s="46">
        <f t="shared" si="14"/>
        <v>0.3</v>
      </c>
      <c r="E36" s="44">
        <f>IF(ISERR((H36*H6+J36*J6+L36*L6+N36*N6)/SUM(H6,J6,L6,N6)+((H36*H6+J36*J6+L36*L6+N36*N6)/SUM(H6,J6,L6,N6))*$O$33),"-",(H36*H6+J36*J6+L36*L6+N36*N6)/SUM(H6,J6,L6,N6)+((H36*H6+J36*J6+L36*L6+N36*N6)/SUM(H6,J6,L6,N6))*$O$33)</f>
        <v>0.28223999999999999</v>
      </c>
      <c r="F36" s="49">
        <f t="shared" si="15"/>
        <v>-1.7759999999999998E-2</v>
      </c>
      <c r="G36" s="251">
        <f>0.6</f>
        <v>0.6</v>
      </c>
      <c r="H36" s="251">
        <f>0.6*0.98*0.96</f>
        <v>0.56447999999999998</v>
      </c>
      <c r="I36" s="270">
        <v>0</v>
      </c>
      <c r="J36" s="271">
        <v>0</v>
      </c>
      <c r="K36" s="270">
        <v>0</v>
      </c>
      <c r="L36" s="271">
        <v>0</v>
      </c>
      <c r="M36" s="73"/>
      <c r="N36" s="73"/>
      <c r="O36" s="182"/>
    </row>
    <row r="37" spans="1:18" s="12" customFormat="1">
      <c r="A37" s="418"/>
      <c r="B37" s="421"/>
      <c r="C37" s="43" t="s">
        <v>33</v>
      </c>
      <c r="D37" s="46">
        <f t="shared" si="14"/>
        <v>0.29399999999999998</v>
      </c>
      <c r="E37" s="44">
        <f t="shared" si="13"/>
        <v>0.26530559999999997</v>
      </c>
      <c r="F37" s="49">
        <f t="shared" si="15"/>
        <v>-2.8694400000000009E-2</v>
      </c>
      <c r="G37" s="251">
        <f>0.6*0.98</f>
        <v>0.58799999999999997</v>
      </c>
      <c r="H37" s="251">
        <f>0.6*0.98*0.96*0.94</f>
        <v>0.53061119999999995</v>
      </c>
      <c r="I37" s="270">
        <v>0</v>
      </c>
      <c r="J37" s="271">
        <v>0</v>
      </c>
      <c r="K37" s="270">
        <v>0</v>
      </c>
      <c r="L37" s="271">
        <v>0</v>
      </c>
      <c r="M37" s="73"/>
      <c r="N37" s="73"/>
      <c r="O37" s="182"/>
    </row>
    <row r="38" spans="1:18" s="12" customFormat="1">
      <c r="A38" s="418"/>
      <c r="B38" s="421"/>
      <c r="C38" s="43" t="s">
        <v>34</v>
      </c>
      <c r="D38" s="46">
        <f t="shared" si="14"/>
        <v>0.28811999999999999</v>
      </c>
      <c r="E38" s="44">
        <f t="shared" si="13"/>
        <v>0.244081152</v>
      </c>
      <c r="F38" s="49">
        <f t="shared" si="15"/>
        <v>-4.4038847999999992E-2</v>
      </c>
      <c r="G38" s="251">
        <f>0.6*0.98*0.98</f>
        <v>0.57623999999999997</v>
      </c>
      <c r="H38" s="251">
        <f>0.6*0.98*0.96*0.94*0.92</f>
        <v>0.48816230399999999</v>
      </c>
      <c r="I38" s="270">
        <v>0</v>
      </c>
      <c r="J38" s="271">
        <v>0</v>
      </c>
      <c r="K38" s="270">
        <v>0</v>
      </c>
      <c r="L38" s="271">
        <v>0</v>
      </c>
      <c r="M38" s="73"/>
      <c r="N38" s="73"/>
      <c r="O38" s="182">
        <f>1-G42/G36</f>
        <v>0.14127524304000016</v>
      </c>
      <c r="P38" s="12">
        <f>1-H42/H33</f>
        <v>0.28048781688832003</v>
      </c>
      <c r="Q38" s="265"/>
      <c r="R38" s="265"/>
    </row>
    <row r="39" spans="1:18" s="12" customFormat="1">
      <c r="A39" s="418"/>
      <c r="B39" s="421"/>
      <c r="C39" s="43" t="s">
        <v>35</v>
      </c>
      <c r="D39" s="46">
        <f t="shared" si="14"/>
        <v>0.27371400000000001</v>
      </c>
      <c r="E39" s="44">
        <f t="shared" si="13"/>
        <v>0.22943628287999998</v>
      </c>
      <c r="F39" s="49">
        <f t="shared" si="15"/>
        <v>-4.4277717120000032E-2</v>
      </c>
      <c r="G39" s="251">
        <f>0.6*0.98*0.98*0.95</f>
        <v>0.54742799999999991</v>
      </c>
      <c r="H39" s="251">
        <f>0.6*0.98*0.96*0.94*0.92*0.94</f>
        <v>0.45887256575999996</v>
      </c>
      <c r="I39" s="270">
        <v>0</v>
      </c>
      <c r="J39" s="271">
        <v>0</v>
      </c>
      <c r="K39" s="270">
        <v>0</v>
      </c>
      <c r="L39" s="271">
        <v>0</v>
      </c>
      <c r="M39" s="73"/>
      <c r="N39" s="73"/>
      <c r="O39" s="182"/>
    </row>
    <row r="40" spans="1:18" s="12" customFormat="1">
      <c r="A40" s="418"/>
      <c r="B40" s="421"/>
      <c r="C40" s="43" t="s">
        <v>36</v>
      </c>
      <c r="D40" s="46">
        <f t="shared" si="14"/>
        <v>0.26823971999999996</v>
      </c>
      <c r="E40" s="44">
        <f t="shared" si="13"/>
        <v>0.22025883156479997</v>
      </c>
      <c r="F40" s="49">
        <f t="shared" si="15"/>
        <v>-4.7980888435199986E-2</v>
      </c>
      <c r="G40" s="251">
        <f>0.6*0.98*0.98*0.95*0.98</f>
        <v>0.53647943999999992</v>
      </c>
      <c r="H40" s="251">
        <f>0.6*0.98*0.96*0.94*0.92*0.94*0.96</f>
        <v>0.44051766312959995</v>
      </c>
      <c r="I40" s="270">
        <v>0</v>
      </c>
      <c r="J40" s="271">
        <v>0</v>
      </c>
      <c r="K40" s="270">
        <v>0</v>
      </c>
      <c r="L40" s="271">
        <v>0</v>
      </c>
      <c r="M40" s="73"/>
      <c r="N40" s="73"/>
      <c r="O40" s="182"/>
    </row>
    <row r="41" spans="1:18" s="12" customFormat="1">
      <c r="A41" s="418"/>
      <c r="B41" s="421"/>
      <c r="C41" s="43" t="s">
        <v>37</v>
      </c>
      <c r="D41" s="46">
        <f t="shared" si="14"/>
        <v>0.26287492559999998</v>
      </c>
      <c r="E41" s="44">
        <f t="shared" si="13"/>
        <v>0.21144847830220798</v>
      </c>
      <c r="F41" s="49">
        <f t="shared" si="15"/>
        <v>-5.1426447297792E-2</v>
      </c>
      <c r="G41" s="251">
        <f>0.6*0.98*0.98*0.95*0.98*0.98</f>
        <v>0.52574985119999995</v>
      </c>
      <c r="H41" s="251">
        <f>0.6*0.98*0.96*0.94*0.92*0.94*0.96*0.96</f>
        <v>0.42289695660441595</v>
      </c>
      <c r="I41" s="270">
        <v>0</v>
      </c>
      <c r="J41" s="271">
        <v>0</v>
      </c>
      <c r="K41" s="270">
        <v>0</v>
      </c>
      <c r="L41" s="271">
        <v>0</v>
      </c>
      <c r="M41" s="73"/>
      <c r="N41" s="73"/>
      <c r="O41" s="182"/>
    </row>
    <row r="42" spans="1:18" s="12" customFormat="1" ht="15.75" thickBot="1">
      <c r="A42" s="419"/>
      <c r="B42" s="422"/>
      <c r="C42" s="75" t="s">
        <v>38</v>
      </c>
      <c r="D42" s="64">
        <f t="shared" si="14"/>
        <v>0.25761742708799995</v>
      </c>
      <c r="E42" s="62">
        <f t="shared" si="13"/>
        <v>0.21585365493350397</v>
      </c>
      <c r="F42" s="63">
        <f t="shared" si="15"/>
        <v>-4.1763772154495976E-2</v>
      </c>
      <c r="G42" s="263">
        <f>0.6*0.98*0.98*0.95*0.98*0.98*0.98</f>
        <v>0.5152348541759999</v>
      </c>
      <c r="H42" s="264">
        <f>0.6*0.98*0.96*0.94*0.92*0.94*0.96*0.98*1</f>
        <v>0.43170730986700795</v>
      </c>
      <c r="I42" s="358">
        <v>0</v>
      </c>
      <c r="J42" s="359">
        <v>0</v>
      </c>
      <c r="K42" s="270">
        <v>0</v>
      </c>
      <c r="L42" s="271">
        <v>0</v>
      </c>
      <c r="M42" s="79"/>
      <c r="N42" s="79"/>
      <c r="O42" s="182"/>
    </row>
    <row r="43" spans="1:18" s="24" customFormat="1" ht="14.45" customHeight="1">
      <c r="A43" s="417" t="s">
        <v>53</v>
      </c>
      <c r="B43" s="420" t="s">
        <v>47</v>
      </c>
      <c r="C43" s="68" t="s">
        <v>29</v>
      </c>
      <c r="D43" s="81">
        <f t="shared" ref="D43:D52" si="16">IF(ISERR((G43*G3+I43*I3+K43*K3+M43*M3)/SUM(G3,I3,K3,M3)),"-",(G43*G3+I43*I3+K43*K3+M43*M3)/SUM(G3,I3,K3,M3))</f>
        <v>1</v>
      </c>
      <c r="E43" s="122">
        <f t="shared" ref="E43:E52" si="17">IF(ISERR((H43*H3+J43*J3+L43*L3+N43*N3)/SUM(H3,J3,L3,N3)+((H43*H3+J43*J3+L43*L3+N43*N3)/SUM(H3,J3,L3,N3))*$O$43),"-",(H43*H3+J43*J3+L43*L3+N43*N3)/SUM(H3,J3,L3,N3)+((H43*H3+J43*J3+L43*L3+N43*N3)/SUM(H3,J3,L3,N3))*$O$43)</f>
        <v>1</v>
      </c>
      <c r="F43" s="59">
        <f>IF(ISERR(E43-D43),"-",E43-D43)</f>
        <v>0</v>
      </c>
      <c r="G43" s="262">
        <v>1</v>
      </c>
      <c r="H43" s="262">
        <v>1</v>
      </c>
      <c r="I43" s="262">
        <v>1</v>
      </c>
      <c r="J43" s="262">
        <v>1</v>
      </c>
      <c r="K43" s="268">
        <v>0</v>
      </c>
      <c r="L43" s="269">
        <v>0</v>
      </c>
      <c r="M43" s="71"/>
      <c r="N43" s="71"/>
      <c r="O43" s="181">
        <f>'Analyza citlivosti - AgendovéIS'!B10</f>
        <v>0</v>
      </c>
    </row>
    <row r="44" spans="1:18" s="12" customFormat="1">
      <c r="A44" s="418"/>
      <c r="B44" s="421"/>
      <c r="C44" s="43" t="s">
        <v>30</v>
      </c>
      <c r="D44" s="46">
        <f t="shared" si="16"/>
        <v>1</v>
      </c>
      <c r="E44" s="44">
        <f t="shared" si="17"/>
        <v>1</v>
      </c>
      <c r="F44" s="49">
        <f t="shared" ref="F44:F52" si="18">IF(ISERR(E44-D44),"-",E44-D44)</f>
        <v>0</v>
      </c>
      <c r="G44" s="73">
        <v>1</v>
      </c>
      <c r="H44" s="73">
        <v>1</v>
      </c>
      <c r="I44" s="73">
        <v>1</v>
      </c>
      <c r="J44" s="73">
        <v>1</v>
      </c>
      <c r="K44" s="270">
        <v>0</v>
      </c>
      <c r="L44" s="271">
        <v>0</v>
      </c>
      <c r="M44" s="73"/>
      <c r="N44" s="73"/>
      <c r="O44" s="182"/>
    </row>
    <row r="45" spans="1:18" s="12" customFormat="1">
      <c r="A45" s="418"/>
      <c r="B45" s="421"/>
      <c r="C45" s="43" t="s">
        <v>31</v>
      </c>
      <c r="D45" s="46">
        <f t="shared" si="16"/>
        <v>1</v>
      </c>
      <c r="E45" s="44">
        <f t="shared" si="17"/>
        <v>1</v>
      </c>
      <c r="F45" s="49">
        <f t="shared" si="18"/>
        <v>0</v>
      </c>
      <c r="G45" s="73">
        <v>1</v>
      </c>
      <c r="H45" s="73">
        <v>1</v>
      </c>
      <c r="I45" s="73">
        <v>1</v>
      </c>
      <c r="J45" s="73">
        <v>1</v>
      </c>
      <c r="K45" s="270">
        <v>0</v>
      </c>
      <c r="L45" s="271">
        <v>0</v>
      </c>
      <c r="M45" s="73"/>
      <c r="N45" s="73"/>
      <c r="O45" s="182"/>
    </row>
    <row r="46" spans="1:18" s="12" customFormat="1">
      <c r="A46" s="418"/>
      <c r="B46" s="421"/>
      <c r="C46" s="43" t="s">
        <v>32</v>
      </c>
      <c r="D46" s="46">
        <f t="shared" si="16"/>
        <v>1</v>
      </c>
      <c r="E46" s="44">
        <f t="shared" si="17"/>
        <v>1</v>
      </c>
      <c r="F46" s="49">
        <f t="shared" si="18"/>
        <v>0</v>
      </c>
      <c r="G46" s="73">
        <v>1</v>
      </c>
      <c r="H46" s="73">
        <v>1</v>
      </c>
      <c r="I46" s="73">
        <v>1</v>
      </c>
      <c r="J46" s="73">
        <v>1</v>
      </c>
      <c r="K46" s="270">
        <v>0</v>
      </c>
      <c r="L46" s="271">
        <v>0</v>
      </c>
      <c r="M46" s="73"/>
      <c r="N46" s="73"/>
      <c r="O46" s="182"/>
    </row>
    <row r="47" spans="1:18" s="12" customFormat="1">
      <c r="A47" s="418"/>
      <c r="B47" s="421"/>
      <c r="C47" s="43" t="s">
        <v>33</v>
      </c>
      <c r="D47" s="46">
        <f t="shared" si="16"/>
        <v>1</v>
      </c>
      <c r="E47" s="44">
        <f t="shared" si="17"/>
        <v>1</v>
      </c>
      <c r="F47" s="49">
        <f t="shared" si="18"/>
        <v>0</v>
      </c>
      <c r="G47" s="73">
        <v>1</v>
      </c>
      <c r="H47" s="73">
        <v>1</v>
      </c>
      <c r="I47" s="73">
        <v>1</v>
      </c>
      <c r="J47" s="73">
        <v>1</v>
      </c>
      <c r="K47" s="270">
        <v>0</v>
      </c>
      <c r="L47" s="271">
        <v>0</v>
      </c>
      <c r="M47" s="73"/>
      <c r="N47" s="73"/>
      <c r="O47" s="182"/>
    </row>
    <row r="48" spans="1:18" s="12" customFormat="1">
      <c r="A48" s="418"/>
      <c r="B48" s="421"/>
      <c r="C48" s="43" t="s">
        <v>34</v>
      </c>
      <c r="D48" s="46">
        <f t="shared" si="16"/>
        <v>1</v>
      </c>
      <c r="E48" s="44">
        <f t="shared" si="17"/>
        <v>1</v>
      </c>
      <c r="F48" s="49">
        <f t="shared" si="18"/>
        <v>0</v>
      </c>
      <c r="G48" s="73">
        <v>1</v>
      </c>
      <c r="H48" s="73">
        <v>1</v>
      </c>
      <c r="I48" s="73">
        <v>1</v>
      </c>
      <c r="J48" s="73">
        <v>1</v>
      </c>
      <c r="K48" s="270">
        <v>0</v>
      </c>
      <c r="L48" s="271">
        <v>0</v>
      </c>
      <c r="M48" s="73"/>
      <c r="N48" s="73"/>
      <c r="O48" s="182"/>
    </row>
    <row r="49" spans="1:15" s="12" customFormat="1">
      <c r="A49" s="418"/>
      <c r="B49" s="421"/>
      <c r="C49" s="43" t="s">
        <v>35</v>
      </c>
      <c r="D49" s="46">
        <f t="shared" si="16"/>
        <v>1</v>
      </c>
      <c r="E49" s="44">
        <f t="shared" si="17"/>
        <v>1</v>
      </c>
      <c r="F49" s="49">
        <f t="shared" si="18"/>
        <v>0</v>
      </c>
      <c r="G49" s="73">
        <v>1</v>
      </c>
      <c r="H49" s="73">
        <v>1</v>
      </c>
      <c r="I49" s="73">
        <v>1</v>
      </c>
      <c r="J49" s="73">
        <v>1</v>
      </c>
      <c r="K49" s="270">
        <v>0</v>
      </c>
      <c r="L49" s="271">
        <v>0</v>
      </c>
      <c r="M49" s="73"/>
      <c r="N49" s="73"/>
      <c r="O49" s="182"/>
    </row>
    <row r="50" spans="1:15" s="12" customFormat="1">
      <c r="A50" s="418"/>
      <c r="B50" s="421"/>
      <c r="C50" s="43" t="s">
        <v>36</v>
      </c>
      <c r="D50" s="46">
        <f t="shared" si="16"/>
        <v>1</v>
      </c>
      <c r="E50" s="44">
        <f t="shared" si="17"/>
        <v>1</v>
      </c>
      <c r="F50" s="49">
        <f t="shared" si="18"/>
        <v>0</v>
      </c>
      <c r="G50" s="73">
        <v>1</v>
      </c>
      <c r="H50" s="73">
        <v>1</v>
      </c>
      <c r="I50" s="73">
        <v>1</v>
      </c>
      <c r="J50" s="73">
        <v>1</v>
      </c>
      <c r="K50" s="270">
        <v>0</v>
      </c>
      <c r="L50" s="271">
        <v>0</v>
      </c>
      <c r="M50" s="73"/>
      <c r="N50" s="73"/>
      <c r="O50" s="182"/>
    </row>
    <row r="51" spans="1:15" s="12" customFormat="1">
      <c r="A51" s="418"/>
      <c r="B51" s="421"/>
      <c r="C51" s="43" t="s">
        <v>37</v>
      </c>
      <c r="D51" s="46">
        <f t="shared" si="16"/>
        <v>1</v>
      </c>
      <c r="E51" s="44">
        <f t="shared" si="17"/>
        <v>1</v>
      </c>
      <c r="F51" s="49">
        <f t="shared" si="18"/>
        <v>0</v>
      </c>
      <c r="G51" s="73">
        <v>1</v>
      </c>
      <c r="H51" s="73">
        <v>1</v>
      </c>
      <c r="I51" s="73">
        <v>1</v>
      </c>
      <c r="J51" s="73">
        <v>1</v>
      </c>
      <c r="K51" s="270">
        <v>0</v>
      </c>
      <c r="L51" s="271">
        <v>0</v>
      </c>
      <c r="M51" s="73"/>
      <c r="N51" s="73"/>
      <c r="O51" s="182"/>
    </row>
    <row r="52" spans="1:15" s="23" customFormat="1" ht="15.75" thickBot="1">
      <c r="A52" s="419"/>
      <c r="B52" s="422"/>
      <c r="C52" s="75" t="s">
        <v>38</v>
      </c>
      <c r="D52" s="64">
        <f t="shared" si="16"/>
        <v>1</v>
      </c>
      <c r="E52" s="62">
        <f t="shared" si="17"/>
        <v>1</v>
      </c>
      <c r="F52" s="63">
        <f t="shared" si="18"/>
        <v>0</v>
      </c>
      <c r="G52" s="244">
        <v>1</v>
      </c>
      <c r="H52" s="79">
        <v>1</v>
      </c>
      <c r="I52" s="244">
        <v>1</v>
      </c>
      <c r="J52" s="79">
        <v>1</v>
      </c>
      <c r="K52" s="273">
        <v>0</v>
      </c>
      <c r="L52" s="274">
        <v>0</v>
      </c>
      <c r="M52" s="79"/>
      <c r="N52" s="79"/>
      <c r="O52" s="183"/>
    </row>
    <row r="53" spans="1:15" s="24" customFormat="1" ht="12.75" customHeight="1">
      <c r="A53" s="418" t="s">
        <v>48</v>
      </c>
      <c r="B53" s="421" t="s">
        <v>14</v>
      </c>
      <c r="C53" s="43" t="s">
        <v>29</v>
      </c>
      <c r="D53" s="82">
        <f t="shared" ref="D53:D62" si="19">SUM(G53,I53,K53,M53)</f>
        <v>0</v>
      </c>
      <c r="E53" s="83">
        <f t="shared" ref="E53:E62" si="20">SUM(H53,J53,L53,N53)+SUM(H53,J53,L53,N53)*$O$53</f>
        <v>0</v>
      </c>
      <c r="F53" s="84">
        <f t="shared" ref="F53:F62" si="21">E53-D53</f>
        <v>0</v>
      </c>
      <c r="G53" s="262">
        <v>0</v>
      </c>
      <c r="H53" s="262">
        <v>0</v>
      </c>
      <c r="I53" s="262">
        <v>0</v>
      </c>
      <c r="J53" s="262">
        <v>0</v>
      </c>
      <c r="K53" s="272">
        <f>94000000*0</f>
        <v>0</v>
      </c>
      <c r="L53" s="272">
        <f>94000000*0</f>
        <v>0</v>
      </c>
      <c r="M53" s="246"/>
      <c r="N53" s="246"/>
      <c r="O53" s="181">
        <f>'Analyza citlivosti - AgendovéIS'!B12</f>
        <v>0</v>
      </c>
    </row>
    <row r="54" spans="1:15" s="12" customFormat="1">
      <c r="A54" s="418"/>
      <c r="B54" s="421"/>
      <c r="C54" s="43" t="s">
        <v>30</v>
      </c>
      <c r="D54" s="45">
        <f t="shared" si="19"/>
        <v>0</v>
      </c>
      <c r="E54" s="83">
        <f t="shared" si="20"/>
        <v>0</v>
      </c>
      <c r="F54" s="48">
        <f t="shared" si="21"/>
        <v>0</v>
      </c>
      <c r="G54" s="73">
        <v>0</v>
      </c>
      <c r="H54" s="73">
        <v>0</v>
      </c>
      <c r="I54" s="73">
        <v>0</v>
      </c>
      <c r="J54" s="73">
        <v>0</v>
      </c>
      <c r="K54" s="266">
        <f>94000000*0</f>
        <v>0</v>
      </c>
      <c r="L54" s="266">
        <f>94000000*0</f>
        <v>0</v>
      </c>
      <c r="M54" s="246"/>
      <c r="N54" s="247"/>
      <c r="O54" s="182"/>
    </row>
    <row r="55" spans="1:15" s="12" customFormat="1">
      <c r="A55" s="418"/>
      <c r="B55" s="421"/>
      <c r="C55" s="43" t="s">
        <v>31</v>
      </c>
      <c r="D55" s="45">
        <f t="shared" si="19"/>
        <v>0</v>
      </c>
      <c r="E55" s="83">
        <f t="shared" si="20"/>
        <v>470000</v>
      </c>
      <c r="F55" s="48">
        <f t="shared" si="21"/>
        <v>470000</v>
      </c>
      <c r="G55" s="73">
        <v>0</v>
      </c>
      <c r="H55" s="73">
        <v>0</v>
      </c>
      <c r="I55" s="73">
        <v>0</v>
      </c>
      <c r="J55" s="73">
        <v>0</v>
      </c>
      <c r="K55" s="266">
        <f t="shared" ref="K55:K61" si="22">94000000*0</f>
        <v>0</v>
      </c>
      <c r="L55" s="266">
        <f>94000000*0.005</f>
        <v>470000</v>
      </c>
      <c r="M55" s="246"/>
      <c r="N55" s="247"/>
      <c r="O55" s="182"/>
    </row>
    <row r="56" spans="1:15" s="12" customFormat="1">
      <c r="A56" s="418"/>
      <c r="B56" s="421"/>
      <c r="C56" s="43" t="s">
        <v>32</v>
      </c>
      <c r="D56" s="45">
        <f t="shared" si="19"/>
        <v>0</v>
      </c>
      <c r="E56" s="83">
        <f t="shared" si="20"/>
        <v>470000</v>
      </c>
      <c r="F56" s="48">
        <f t="shared" si="21"/>
        <v>470000</v>
      </c>
      <c r="G56" s="73">
        <v>0</v>
      </c>
      <c r="H56" s="73">
        <v>0</v>
      </c>
      <c r="I56" s="73">
        <v>0</v>
      </c>
      <c r="J56" s="73">
        <v>0</v>
      </c>
      <c r="K56" s="266">
        <f t="shared" si="22"/>
        <v>0</v>
      </c>
      <c r="L56" s="266">
        <f>94000000*0.005</f>
        <v>470000</v>
      </c>
      <c r="M56" s="246"/>
      <c r="N56" s="247"/>
      <c r="O56" s="182"/>
    </row>
    <row r="57" spans="1:15" s="12" customFormat="1">
      <c r="A57" s="418"/>
      <c r="B57" s="421"/>
      <c r="C57" s="43" t="s">
        <v>33</v>
      </c>
      <c r="D57" s="45">
        <f t="shared" si="19"/>
        <v>0</v>
      </c>
      <c r="E57" s="83">
        <f t="shared" si="20"/>
        <v>940000</v>
      </c>
      <c r="F57" s="48">
        <f t="shared" si="21"/>
        <v>940000</v>
      </c>
      <c r="G57" s="73">
        <v>0</v>
      </c>
      <c r="H57" s="73">
        <v>0</v>
      </c>
      <c r="I57" s="73">
        <v>0</v>
      </c>
      <c r="J57" s="73">
        <v>0</v>
      </c>
      <c r="K57" s="266">
        <f t="shared" si="22"/>
        <v>0</v>
      </c>
      <c r="L57" s="266">
        <f>94000000*0.01</f>
        <v>940000</v>
      </c>
      <c r="M57" s="246"/>
      <c r="N57" s="247"/>
      <c r="O57" s="182"/>
    </row>
    <row r="58" spans="1:15" s="12" customFormat="1">
      <c r="A58" s="418"/>
      <c r="B58" s="421"/>
      <c r="C58" s="43" t="s">
        <v>34</v>
      </c>
      <c r="D58" s="45">
        <f t="shared" si="19"/>
        <v>0</v>
      </c>
      <c r="E58" s="83">
        <f t="shared" si="20"/>
        <v>1880000</v>
      </c>
      <c r="F58" s="48">
        <f t="shared" si="21"/>
        <v>1880000</v>
      </c>
      <c r="G58" s="73">
        <v>0</v>
      </c>
      <c r="H58" s="73">
        <v>0</v>
      </c>
      <c r="I58" s="73">
        <v>0</v>
      </c>
      <c r="J58" s="73">
        <v>0</v>
      </c>
      <c r="K58" s="266">
        <f t="shared" si="22"/>
        <v>0</v>
      </c>
      <c r="L58" s="266">
        <f>94000000*0.02</f>
        <v>1880000</v>
      </c>
      <c r="M58" s="246"/>
      <c r="N58" s="247"/>
      <c r="O58" s="182"/>
    </row>
    <row r="59" spans="1:15" s="12" customFormat="1">
      <c r="A59" s="418"/>
      <c r="B59" s="421"/>
      <c r="C59" s="43" t="s">
        <v>35</v>
      </c>
      <c r="D59" s="45">
        <f t="shared" si="19"/>
        <v>0</v>
      </c>
      <c r="E59" s="83">
        <f t="shared" si="20"/>
        <v>2350000</v>
      </c>
      <c r="F59" s="48">
        <f t="shared" si="21"/>
        <v>2350000</v>
      </c>
      <c r="G59" s="73">
        <v>0</v>
      </c>
      <c r="H59" s="73">
        <v>0</v>
      </c>
      <c r="I59" s="73">
        <v>0</v>
      </c>
      <c r="J59" s="73">
        <v>0</v>
      </c>
      <c r="K59" s="266">
        <f t="shared" si="22"/>
        <v>0</v>
      </c>
      <c r="L59" s="266">
        <f>94000000*0.025</f>
        <v>2350000</v>
      </c>
      <c r="M59" s="246"/>
      <c r="N59" s="247"/>
      <c r="O59" s="182"/>
    </row>
    <row r="60" spans="1:15" s="12" customFormat="1">
      <c r="A60" s="418"/>
      <c r="B60" s="421"/>
      <c r="C60" s="43" t="s">
        <v>36</v>
      </c>
      <c r="D60" s="45">
        <f t="shared" si="19"/>
        <v>0</v>
      </c>
      <c r="E60" s="83">
        <f t="shared" si="20"/>
        <v>1880000</v>
      </c>
      <c r="F60" s="48">
        <f t="shared" si="21"/>
        <v>1880000</v>
      </c>
      <c r="G60" s="73">
        <v>0</v>
      </c>
      <c r="H60" s="73">
        <v>0</v>
      </c>
      <c r="I60" s="73">
        <v>0</v>
      </c>
      <c r="J60" s="73">
        <v>0</v>
      </c>
      <c r="K60" s="266">
        <f t="shared" si="22"/>
        <v>0</v>
      </c>
      <c r="L60" s="266">
        <f>94000000*0.02</f>
        <v>1880000</v>
      </c>
      <c r="M60" s="246"/>
      <c r="N60" s="247"/>
      <c r="O60" s="182"/>
    </row>
    <row r="61" spans="1:15" s="12" customFormat="1">
      <c r="A61" s="418"/>
      <c r="B61" s="421"/>
      <c r="C61" s="43" t="s">
        <v>37</v>
      </c>
      <c r="D61" s="45">
        <f t="shared" si="19"/>
        <v>0</v>
      </c>
      <c r="E61" s="83">
        <f t="shared" si="20"/>
        <v>1410000</v>
      </c>
      <c r="F61" s="48">
        <f t="shared" si="21"/>
        <v>1410000</v>
      </c>
      <c r="G61" s="73">
        <v>0</v>
      </c>
      <c r="H61" s="73">
        <v>0</v>
      </c>
      <c r="I61" s="73">
        <v>0</v>
      </c>
      <c r="J61" s="73">
        <v>0</v>
      </c>
      <c r="K61" s="266">
        <f t="shared" si="22"/>
        <v>0</v>
      </c>
      <c r="L61" s="266">
        <f>94000000*0.015</f>
        <v>1410000</v>
      </c>
      <c r="M61" s="246"/>
      <c r="N61" s="247"/>
      <c r="O61" s="182"/>
    </row>
    <row r="62" spans="1:15" s="23" customFormat="1" ht="15.75" thickBot="1">
      <c r="A62" s="419"/>
      <c r="B62" s="422"/>
      <c r="C62" s="75" t="s">
        <v>38</v>
      </c>
      <c r="D62" s="76">
        <f t="shared" si="19"/>
        <v>0</v>
      </c>
      <c r="E62" s="77">
        <f t="shared" si="20"/>
        <v>940000</v>
      </c>
      <c r="F62" s="78">
        <f t="shared" si="21"/>
        <v>940000</v>
      </c>
      <c r="G62" s="244">
        <v>0</v>
      </c>
      <c r="H62" s="79">
        <v>0</v>
      </c>
      <c r="I62" s="244">
        <v>0</v>
      </c>
      <c r="J62" s="79">
        <v>0</v>
      </c>
      <c r="K62" s="267">
        <v>0</v>
      </c>
      <c r="L62" s="267">
        <f>94000000*0.01</f>
        <v>940000</v>
      </c>
      <c r="M62" s="248"/>
      <c r="N62" s="249"/>
      <c r="O62" s="183"/>
    </row>
    <row r="63" spans="1:15">
      <c r="C63" s="43"/>
      <c r="D63" s="12"/>
    </row>
    <row r="64" spans="1:15">
      <c r="C64" s="43"/>
      <c r="D64" s="12"/>
    </row>
    <row r="65" spans="3:4">
      <c r="C65" s="43"/>
      <c r="D65" s="12"/>
    </row>
  </sheetData>
  <mergeCells count="17">
    <mergeCell ref="A53:A62"/>
    <mergeCell ref="B53:B62"/>
    <mergeCell ref="A33:A42"/>
    <mergeCell ref="B33:B42"/>
    <mergeCell ref="A43:A52"/>
    <mergeCell ref="B43:B52"/>
    <mergeCell ref="A13:A22"/>
    <mergeCell ref="B13:B22"/>
    <mergeCell ref="A23:A32"/>
    <mergeCell ref="B23:B32"/>
    <mergeCell ref="D1:F1"/>
    <mergeCell ref="G1:H1"/>
    <mergeCell ref="I1:J1"/>
    <mergeCell ref="K1:L1"/>
    <mergeCell ref="M1:N1"/>
    <mergeCell ref="A3:A12"/>
    <mergeCell ref="B3:B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8"/>
  <sheetViews>
    <sheetView zoomScale="85" zoomScaleNormal="85" zoomScalePageLayoutView="85" workbookViewId="0">
      <selection activeCell="I31" sqref="I31"/>
    </sheetView>
  </sheetViews>
  <sheetFormatPr defaultColWidth="8.85546875" defaultRowHeight="15" outlineLevelCol="1"/>
  <cols>
    <col min="2" max="2" width="54.140625" customWidth="1"/>
    <col min="3" max="3" width="18.85546875" customWidth="1"/>
    <col min="4" max="13" width="16" customWidth="1" outlineLevel="1"/>
  </cols>
  <sheetData>
    <row r="1" spans="1:13" ht="21">
      <c r="A1" s="175" t="s">
        <v>124</v>
      </c>
      <c r="B1" s="176"/>
      <c r="D1" s="163"/>
      <c r="E1" s="161"/>
      <c r="F1" s="161"/>
      <c r="G1" s="161"/>
      <c r="H1" s="161"/>
      <c r="I1" s="161"/>
      <c r="J1" s="161"/>
      <c r="K1" s="161"/>
      <c r="L1" s="161"/>
      <c r="M1" s="157"/>
    </row>
    <row r="2" spans="1:13" ht="15.75">
      <c r="A2" s="177"/>
      <c r="B2" s="162"/>
      <c r="D2" s="159"/>
      <c r="E2" s="159"/>
      <c r="F2" s="159"/>
      <c r="G2" s="159"/>
      <c r="H2" s="159"/>
      <c r="I2" s="159"/>
      <c r="J2" s="159"/>
      <c r="K2" s="159"/>
      <c r="L2" s="159"/>
      <c r="M2" s="153"/>
    </row>
    <row r="3" spans="1:13" ht="15.75">
      <c r="A3" s="190" t="s">
        <v>152</v>
      </c>
      <c r="B3" s="162"/>
      <c r="D3" s="153"/>
      <c r="E3" s="153"/>
      <c r="F3" s="153"/>
      <c r="G3" s="153"/>
      <c r="H3" s="153"/>
      <c r="I3" s="153"/>
      <c r="J3" s="153"/>
      <c r="K3" s="153"/>
      <c r="L3" s="153"/>
      <c r="M3" s="153"/>
    </row>
    <row r="4" spans="1:13">
      <c r="D4" s="154"/>
      <c r="E4" s="154"/>
      <c r="F4" s="154"/>
      <c r="G4" s="154"/>
      <c r="H4" s="154"/>
      <c r="I4" s="154"/>
      <c r="J4" s="154"/>
      <c r="K4" s="154"/>
      <c r="L4" s="154"/>
      <c r="M4" s="154"/>
    </row>
    <row r="5" spans="1:13" ht="15.75" thickBot="1">
      <c r="A5" s="163"/>
      <c r="B5" s="164"/>
      <c r="C5" s="158"/>
      <c r="D5" s="423" t="s">
        <v>126</v>
      </c>
      <c r="E5" s="423"/>
      <c r="F5" s="423"/>
      <c r="G5" s="423"/>
      <c r="H5" s="423"/>
      <c r="I5" s="423"/>
      <c r="J5" s="423"/>
      <c r="K5" s="423"/>
      <c r="L5" s="423"/>
      <c r="M5" s="423"/>
    </row>
    <row r="6" spans="1:13">
      <c r="A6" s="191" t="s">
        <v>125</v>
      </c>
      <c r="B6" s="192"/>
      <c r="C6" s="169" t="s">
        <v>133</v>
      </c>
      <c r="D6" s="200" t="s">
        <v>29</v>
      </c>
      <c r="E6" s="201" t="s">
        <v>30</v>
      </c>
      <c r="F6" s="201" t="s">
        <v>31</v>
      </c>
      <c r="G6" s="201" t="s">
        <v>32</v>
      </c>
      <c r="H6" s="201" t="s">
        <v>33</v>
      </c>
      <c r="I6" s="201" t="s">
        <v>34</v>
      </c>
      <c r="J6" s="201" t="s">
        <v>35</v>
      </c>
      <c r="K6" s="201" t="s">
        <v>36</v>
      </c>
      <c r="L6" s="201" t="s">
        <v>37</v>
      </c>
      <c r="M6" s="202" t="s">
        <v>38</v>
      </c>
    </row>
    <row r="7" spans="1:13">
      <c r="A7" s="193">
        <v>1</v>
      </c>
      <c r="B7" s="194" t="s">
        <v>138</v>
      </c>
      <c r="C7" s="170">
        <f t="shared" ref="C7:C12" si="0">SUM(D7:M7)</f>
        <v>2200000</v>
      </c>
      <c r="D7" s="203">
        <f>'TCO - SW'!$E5+'TCO - SW'!$E15</f>
        <v>2200000</v>
      </c>
      <c r="E7" s="167">
        <f>'TCO - SW'!$E6+'TCO - SW'!$E16</f>
        <v>0</v>
      </c>
      <c r="F7" s="167">
        <f>'TCO - SW'!$E7+'TCO - SW'!$E17</f>
        <v>0</v>
      </c>
      <c r="G7" s="167">
        <f>'TCO - SW'!$E8+'TCO - SW'!$E18</f>
        <v>0</v>
      </c>
      <c r="H7" s="167">
        <f>'TCO - SW'!$E9+'TCO - SW'!$E19</f>
        <v>0</v>
      </c>
      <c r="I7" s="167">
        <f>'TCO - SW'!$E10+'TCO - SW'!$E20</f>
        <v>0</v>
      </c>
      <c r="J7" s="167">
        <f>'TCO - SW'!$E11+'TCO - SW'!$E21</f>
        <v>0</v>
      </c>
      <c r="K7" s="167">
        <f>'TCO - SW'!$E12+'TCO - SW'!$E22</f>
        <v>0</v>
      </c>
      <c r="L7" s="167">
        <f>'TCO - SW'!$E13+'TCO - SW'!$E23</f>
        <v>0</v>
      </c>
      <c r="M7" s="204">
        <f>'TCO - SW'!$E14+'TCO - SW'!$E24</f>
        <v>0</v>
      </c>
    </row>
    <row r="8" spans="1:13">
      <c r="A8" s="193"/>
      <c r="B8" s="194" t="s">
        <v>139</v>
      </c>
      <c r="C8" s="170">
        <f t="shared" si="0"/>
        <v>1740000</v>
      </c>
      <c r="D8" s="203">
        <f>'TCO - SW'!$E58+'TCO - SW'!$E68</f>
        <v>0</v>
      </c>
      <c r="E8" s="167">
        <f>'TCO - SW'!$E59+'TCO - SW'!$E69</f>
        <v>0</v>
      </c>
      <c r="F8" s="167">
        <f>'TCO - SW'!$E60+'TCO - SW'!$E70</f>
        <v>0</v>
      </c>
      <c r="G8" s="167">
        <f>'TCO - SW'!$E61+'TCO - SW'!$E71</f>
        <v>0</v>
      </c>
      <c r="H8" s="167">
        <f>'TCO - SW'!$E62+'TCO - SW'!$E72</f>
        <v>250000</v>
      </c>
      <c r="I8" s="167">
        <f>'TCO - SW'!$E63+'TCO - SW'!$E73</f>
        <v>250000</v>
      </c>
      <c r="J8" s="167">
        <f>'TCO - SW'!$E64+'TCO - SW'!$E74</f>
        <v>370000</v>
      </c>
      <c r="K8" s="167">
        <f>'TCO - SW'!$E65+'TCO - SW'!$E75</f>
        <v>250000</v>
      </c>
      <c r="L8" s="167">
        <f>'TCO - SW'!$E66+'TCO - SW'!$E76</f>
        <v>250000</v>
      </c>
      <c r="M8" s="204">
        <f>'TCO - SW'!$E67+'TCO - SW'!$E77</f>
        <v>370000</v>
      </c>
    </row>
    <row r="9" spans="1:13">
      <c r="A9" s="193"/>
      <c r="B9" s="194" t="s">
        <v>140</v>
      </c>
      <c r="C9" s="170">
        <f t="shared" si="0"/>
        <v>17650000</v>
      </c>
      <c r="D9" s="203">
        <f>'TCO - SW'!$E26+'TCO - SW'!$E36+'TCO - SW'!$E46</f>
        <v>3805000</v>
      </c>
      <c r="E9" s="167">
        <f>'TCO - SW'!$E27+'TCO - SW'!$E37+'TCO - SW'!$E47</f>
        <v>5020000</v>
      </c>
      <c r="F9" s="167">
        <f>'TCO - SW'!$E28+'TCO - SW'!$E38+'TCO - SW'!$E48</f>
        <v>4412500</v>
      </c>
      <c r="G9" s="167">
        <f>'TCO - SW'!$E29+'TCO - SW'!$E39+'TCO - SW'!$E49</f>
        <v>4412500</v>
      </c>
      <c r="H9" s="167">
        <f>'TCO - SW'!$E30+'TCO - SW'!$E40+'TCO - SW'!$E50</f>
        <v>0</v>
      </c>
      <c r="I9" s="167">
        <f>'TCO - SW'!$E31+'TCO - SW'!$E41+'TCO - SW'!$E51</f>
        <v>0</v>
      </c>
      <c r="J9" s="167">
        <f>'TCO - SW'!$E32+'TCO - SW'!$E42+'TCO - SW'!$E52</f>
        <v>0</v>
      </c>
      <c r="K9" s="167">
        <f>'TCO - SW'!$E33+'TCO - SW'!$E43+'TCO - SW'!$E53</f>
        <v>0</v>
      </c>
      <c r="L9" s="167">
        <f>'TCO - SW'!$E34+'TCO - SW'!$E44+'TCO - SW'!$E54</f>
        <v>0</v>
      </c>
      <c r="M9" s="204">
        <f>'TCO - SW'!$E35+'TCO - SW'!$E45+'TCO - SW'!$E55</f>
        <v>0</v>
      </c>
    </row>
    <row r="10" spans="1:13">
      <c r="A10" s="193"/>
      <c r="B10" s="194" t="s">
        <v>141</v>
      </c>
      <c r="C10" s="170">
        <f t="shared" si="0"/>
        <v>14460000</v>
      </c>
      <c r="D10" s="203">
        <f>'TCO - SW'!$E79+'TCO - SW'!$E89+'TCO - SW'!$E99+'TCO - SW'!$E109+'TCO - SW'!$E119</f>
        <v>0</v>
      </c>
      <c r="E10" s="167">
        <f>'TCO - SW'!$E80+'TCO - SW'!$E90+'TCO - SW'!$E100+'TCO - SW'!$E110+'TCO - SW'!$E120</f>
        <v>0</v>
      </c>
      <c r="F10" s="167">
        <f>'TCO - SW'!$E81+'TCO - SW'!$E91+'TCO - SW'!$E101+'TCO - SW'!$E111+'TCO - SW'!$E121</f>
        <v>870000</v>
      </c>
      <c r="G10" s="167">
        <f>'TCO - SW'!$E82+'TCO - SW'!$E92+'TCO - SW'!$E102+'TCO - SW'!$E112+'TCO - SW'!$E122</f>
        <v>870000</v>
      </c>
      <c r="H10" s="167">
        <f>'TCO - SW'!$E83+'TCO - SW'!$E93+'TCO - SW'!$E103+'TCO - SW'!$E113+'TCO - SW'!$E123</f>
        <v>2120000</v>
      </c>
      <c r="I10" s="167">
        <f>'TCO - SW'!$E84+'TCO - SW'!$E94+'TCO - SW'!$E104+'TCO - SW'!$E114+'TCO - SW'!$E124</f>
        <v>2120000</v>
      </c>
      <c r="J10" s="167">
        <f>'TCO - SW'!$E85+'TCO - SW'!$E95+'TCO - SW'!$E105+'TCO - SW'!$E115+'TCO - SW'!$E125</f>
        <v>2120000</v>
      </c>
      <c r="K10" s="167">
        <f>'TCO - SW'!$E86+'TCO - SW'!$E96+'TCO - SW'!$E106+'TCO - SW'!$E116+'TCO - SW'!$E126</f>
        <v>2120000</v>
      </c>
      <c r="L10" s="167">
        <f>'TCO - SW'!$E87+'TCO - SW'!$E97+'TCO - SW'!$E107+'TCO - SW'!$E117+'TCO - SW'!$E127</f>
        <v>2120000</v>
      </c>
      <c r="M10" s="204">
        <f>'TCO - SW'!$E88+'TCO - SW'!$E98+'TCO - SW'!$E108+'TCO - SW'!$E118+'TCO - SW'!$E128</f>
        <v>2120000</v>
      </c>
    </row>
    <row r="11" spans="1:13">
      <c r="A11" s="193">
        <v>2</v>
      </c>
      <c r="B11" s="194" t="s">
        <v>127</v>
      </c>
      <c r="C11" s="170">
        <f t="shared" si="0"/>
        <v>0</v>
      </c>
      <c r="D11" s="203">
        <f>'TCO - HW'!$E4+'TCO - HW'!$E14+'TCO - HW'!$E24</f>
        <v>0</v>
      </c>
      <c r="E11" s="167">
        <f>'TCO - HW'!$E5+'TCO - HW'!$E15+'TCO - HW'!$E25</f>
        <v>0</v>
      </c>
      <c r="F11" s="167">
        <f>'TCO - HW'!$E6+'TCO - HW'!$E16+'TCO - HW'!$E26</f>
        <v>0</v>
      </c>
      <c r="G11" s="167">
        <f>'TCO - HW'!$E7+'TCO - HW'!$E17+'TCO - HW'!$E27</f>
        <v>0</v>
      </c>
      <c r="H11" s="167">
        <f>'TCO - HW'!$E8+'TCO - HW'!$E18+'TCO - HW'!$E28</f>
        <v>0</v>
      </c>
      <c r="I11" s="167">
        <f>'TCO - HW'!$E9+'TCO - HW'!$E19+'TCO - HW'!$E29</f>
        <v>0</v>
      </c>
      <c r="J11" s="167">
        <f>'TCO - HW'!$E10+'TCO - HW'!$E20+'TCO - HW'!$E30</f>
        <v>0</v>
      </c>
      <c r="K11" s="167">
        <f>'TCO - HW'!$E11+'TCO - HW'!$E21+'TCO - HW'!$E31</f>
        <v>0</v>
      </c>
      <c r="L11" s="167">
        <f>'TCO - HW'!$E12+'TCO - HW'!$E22+'TCO - HW'!$E32</f>
        <v>0</v>
      </c>
      <c r="M11" s="204">
        <f>'TCO - HW'!$E13+'TCO - HW'!$E23+'TCO - HW'!$E33</f>
        <v>0</v>
      </c>
    </row>
    <row r="12" spans="1:13" ht="15.75" thickBot="1">
      <c r="A12" s="193"/>
      <c r="B12" s="195" t="s">
        <v>128</v>
      </c>
      <c r="C12" s="171">
        <f t="shared" si="0"/>
        <v>0</v>
      </c>
      <c r="D12" s="205">
        <f>'TCO - HW'!$E35+'TCO - HW'!$E45+'TCO - HW'!$E55+'TCO - HW'!$E65+'TCO - HW'!$E75</f>
        <v>0</v>
      </c>
      <c r="E12" s="206">
        <f>'TCO - HW'!$E36+'TCO - HW'!$E46+'TCO - HW'!$E56+'TCO - HW'!$E66+'TCO - HW'!$E76</f>
        <v>0</v>
      </c>
      <c r="F12" s="206">
        <f>'TCO - HW'!$E37+'TCO - HW'!$E47+'TCO - HW'!$E57+'TCO - HW'!$E67+'TCO - HW'!$E77</f>
        <v>0</v>
      </c>
      <c r="G12" s="206">
        <f>'TCO - HW'!$E38+'TCO - HW'!$E48+'TCO - HW'!$E58+'TCO - HW'!$E68+'TCO - HW'!$E78</f>
        <v>0</v>
      </c>
      <c r="H12" s="206">
        <f>'TCO - HW'!$E39+'TCO - HW'!$E49+'TCO - HW'!$E59+'TCO - HW'!$E69+'TCO - HW'!$E79</f>
        <v>0</v>
      </c>
      <c r="I12" s="206">
        <f>'TCO - HW'!$E40+'TCO - HW'!$E50+'TCO - HW'!$E60+'TCO - HW'!$E70+'TCO - HW'!$E80</f>
        <v>0</v>
      </c>
      <c r="J12" s="206">
        <f>'TCO - HW'!$E41+'TCO - HW'!$E51+'TCO - HW'!$E61+'TCO - HW'!$E71+'TCO - HW'!$E81</f>
        <v>0</v>
      </c>
      <c r="K12" s="206">
        <f>'TCO - HW'!$E42+'TCO - HW'!$E52+'TCO - HW'!$E62+'TCO - HW'!$E72+'TCO - HW'!$E82</f>
        <v>0</v>
      </c>
      <c r="L12" s="206">
        <f>'TCO - HW'!$E43+'TCO - HW'!$E53+'TCO - HW'!$E63+'TCO - HW'!$E73+'TCO - HW'!$E83</f>
        <v>0</v>
      </c>
      <c r="M12" s="207">
        <f>'TCO - HW'!$E44+'TCO - HW'!$E54+'TCO - HW'!$E64+'TCO - HW'!$E74+'TCO - HW'!$E84</f>
        <v>0</v>
      </c>
    </row>
    <row r="13" spans="1:13" ht="15.75" thickBot="1">
      <c r="A13" s="165"/>
      <c r="B13" s="166" t="s">
        <v>129</v>
      </c>
      <c r="C13" s="172">
        <f>SUM(C7:C12)</f>
        <v>36050000</v>
      </c>
      <c r="D13" s="168">
        <f>SUM(D7:D12)</f>
        <v>6005000</v>
      </c>
      <c r="E13" s="156">
        <f t="shared" ref="E13:M13" si="1">SUM(E7:E12)</f>
        <v>5020000</v>
      </c>
      <c r="F13" s="156">
        <f t="shared" si="1"/>
        <v>5282500</v>
      </c>
      <c r="G13" s="156">
        <f t="shared" si="1"/>
        <v>5282500</v>
      </c>
      <c r="H13" s="156">
        <f t="shared" si="1"/>
        <v>2370000</v>
      </c>
      <c r="I13" s="156">
        <f t="shared" si="1"/>
        <v>2370000</v>
      </c>
      <c r="J13" s="156">
        <f t="shared" si="1"/>
        <v>2490000</v>
      </c>
      <c r="K13" s="156">
        <f t="shared" si="1"/>
        <v>2370000</v>
      </c>
      <c r="L13" s="174">
        <f t="shared" si="1"/>
        <v>2370000</v>
      </c>
      <c r="M13" s="173">
        <f t="shared" si="1"/>
        <v>2490000</v>
      </c>
    </row>
    <row r="14" spans="1:13">
      <c r="A14" s="154"/>
      <c r="B14" s="154"/>
      <c r="C14" s="154"/>
      <c r="D14" s="154"/>
      <c r="E14" s="154"/>
      <c r="F14" s="154"/>
      <c r="G14" s="154"/>
      <c r="H14" s="154"/>
      <c r="I14" s="154"/>
      <c r="J14" s="154"/>
      <c r="K14" s="154"/>
      <c r="L14" s="154"/>
      <c r="M14" s="154"/>
    </row>
    <row r="15" spans="1:13">
      <c r="A15" s="154"/>
      <c r="B15" s="154"/>
      <c r="C15" s="154"/>
      <c r="D15" s="154"/>
      <c r="E15" s="154"/>
      <c r="F15" s="154"/>
      <c r="G15" s="154"/>
      <c r="H15" s="154"/>
      <c r="I15" s="154"/>
      <c r="J15" s="154"/>
      <c r="K15" s="154"/>
      <c r="L15" s="154"/>
      <c r="M15" s="154"/>
    </row>
    <row r="16" spans="1:13" ht="32.25" customHeight="1">
      <c r="A16" s="424" t="s">
        <v>153</v>
      </c>
      <c r="B16" s="424"/>
      <c r="C16" s="424"/>
      <c r="D16" s="160"/>
      <c r="E16" s="159"/>
      <c r="F16" s="159"/>
      <c r="G16" s="159"/>
      <c r="H16" s="159"/>
      <c r="I16" s="159"/>
      <c r="J16" s="159"/>
      <c r="K16" s="159"/>
      <c r="L16" s="159"/>
      <c r="M16" s="153"/>
    </row>
    <row r="17" spans="1:13">
      <c r="A17" s="154"/>
      <c r="B17" s="154"/>
      <c r="C17" s="154"/>
      <c r="D17" s="154"/>
      <c r="E17" s="154"/>
      <c r="F17" s="154"/>
      <c r="G17" s="154"/>
      <c r="H17" s="154"/>
      <c r="I17" s="154"/>
      <c r="J17" s="154"/>
      <c r="K17" s="154"/>
      <c r="L17" s="154"/>
      <c r="M17" s="154"/>
    </row>
    <row r="18" spans="1:13" ht="15.75" thickBot="1">
      <c r="A18" s="163"/>
      <c r="B18" s="164"/>
      <c r="C18" s="158"/>
      <c r="D18" s="423" t="s">
        <v>126</v>
      </c>
      <c r="E18" s="423"/>
      <c r="F18" s="423"/>
      <c r="G18" s="423"/>
      <c r="H18" s="423"/>
      <c r="I18" s="423"/>
      <c r="J18" s="423"/>
      <c r="K18" s="423"/>
      <c r="L18" s="423"/>
      <c r="M18" s="423"/>
    </row>
    <row r="19" spans="1:13" ht="17.100000000000001" customHeight="1">
      <c r="A19" s="191" t="s">
        <v>125</v>
      </c>
      <c r="B19" s="192"/>
      <c r="C19" s="169" t="s">
        <v>133</v>
      </c>
      <c r="D19" s="200" t="s">
        <v>29</v>
      </c>
      <c r="E19" s="201" t="s">
        <v>30</v>
      </c>
      <c r="F19" s="201" t="s">
        <v>31</v>
      </c>
      <c r="G19" s="201" t="s">
        <v>32</v>
      </c>
      <c r="H19" s="201" t="s">
        <v>33</v>
      </c>
      <c r="I19" s="201" t="s">
        <v>34</v>
      </c>
      <c r="J19" s="201" t="s">
        <v>35</v>
      </c>
      <c r="K19" s="201" t="s">
        <v>36</v>
      </c>
      <c r="L19" s="201" t="s">
        <v>37</v>
      </c>
      <c r="M19" s="202" t="s">
        <v>38</v>
      </c>
    </row>
    <row r="20" spans="1:13" ht="15" customHeight="1">
      <c r="A20" s="196">
        <v>1</v>
      </c>
      <c r="B20" s="197" t="s">
        <v>130</v>
      </c>
      <c r="C20" s="170">
        <f>SUM(D20:M20)</f>
        <v>4112000</v>
      </c>
      <c r="D20" s="203">
        <v>278000</v>
      </c>
      <c r="E20" s="167">
        <v>362000</v>
      </c>
      <c r="F20" s="167">
        <v>434000</v>
      </c>
      <c r="G20" s="167">
        <v>434000</v>
      </c>
      <c r="H20" s="167">
        <v>434000</v>
      </c>
      <c r="I20" s="167">
        <v>434000</v>
      </c>
      <c r="J20" s="167">
        <v>434000</v>
      </c>
      <c r="K20" s="167">
        <v>434000</v>
      </c>
      <c r="L20" s="167">
        <v>434000</v>
      </c>
      <c r="M20" s="204">
        <v>434000</v>
      </c>
    </row>
    <row r="21" spans="1:13" ht="17.45" customHeight="1">
      <c r="A21" s="196">
        <v>2</v>
      </c>
      <c r="B21" s="197" t="s">
        <v>131</v>
      </c>
      <c r="C21" s="170">
        <f>SUM(D21:M21)</f>
        <v>0</v>
      </c>
      <c r="D21" s="208"/>
      <c r="E21" s="209"/>
      <c r="F21" s="209"/>
      <c r="G21" s="209"/>
      <c r="H21" s="209"/>
      <c r="I21" s="209"/>
      <c r="J21" s="209"/>
      <c r="K21" s="209"/>
      <c r="L21" s="209"/>
      <c r="M21" s="210"/>
    </row>
    <row r="22" spans="1:13">
      <c r="A22" s="196">
        <v>3</v>
      </c>
      <c r="B22" s="196" t="s">
        <v>145</v>
      </c>
      <c r="C22" s="170">
        <f>SUM(D22:M22)</f>
        <v>1440000</v>
      </c>
      <c r="D22" s="208">
        <f>120000*1.2</f>
        <v>144000</v>
      </c>
      <c r="E22" s="209">
        <f t="shared" ref="E22:M22" si="2">120000*1.2</f>
        <v>144000</v>
      </c>
      <c r="F22" s="209">
        <f t="shared" si="2"/>
        <v>144000</v>
      </c>
      <c r="G22" s="209">
        <f t="shared" si="2"/>
        <v>144000</v>
      </c>
      <c r="H22" s="209">
        <f t="shared" si="2"/>
        <v>144000</v>
      </c>
      <c r="I22" s="209">
        <f t="shared" si="2"/>
        <v>144000</v>
      </c>
      <c r="J22" s="209">
        <f t="shared" si="2"/>
        <v>144000</v>
      </c>
      <c r="K22" s="209">
        <f t="shared" si="2"/>
        <v>144000</v>
      </c>
      <c r="L22" s="209">
        <f t="shared" si="2"/>
        <v>144000</v>
      </c>
      <c r="M22" s="210">
        <f t="shared" si="2"/>
        <v>144000</v>
      </c>
    </row>
    <row r="23" spans="1:13" ht="15.75" thickBot="1">
      <c r="A23" s="196">
        <v>4</v>
      </c>
      <c r="B23" s="198" t="s">
        <v>132</v>
      </c>
      <c r="C23" s="171">
        <f>SUM(D23:M23)</f>
        <v>0</v>
      </c>
      <c r="D23" s="211"/>
      <c r="E23" s="212"/>
      <c r="F23" s="212"/>
      <c r="G23" s="212"/>
      <c r="H23" s="212"/>
      <c r="I23" s="212"/>
      <c r="J23" s="212"/>
      <c r="K23" s="212"/>
      <c r="L23" s="212"/>
      <c r="M23" s="213"/>
    </row>
    <row r="24" spans="1:13" ht="15.75" thickBot="1">
      <c r="A24" s="165"/>
      <c r="B24" s="166" t="s">
        <v>146</v>
      </c>
      <c r="C24" s="172">
        <f>SUM(C20:C23)</f>
        <v>5552000</v>
      </c>
      <c r="D24" s="168">
        <f>SUM(D20:D23)</f>
        <v>422000</v>
      </c>
      <c r="E24" s="156">
        <f t="shared" ref="E24:M24" si="3">SUM(E20:E23)</f>
        <v>506000</v>
      </c>
      <c r="F24" s="156">
        <f t="shared" si="3"/>
        <v>578000</v>
      </c>
      <c r="G24" s="156">
        <f t="shared" si="3"/>
        <v>578000</v>
      </c>
      <c r="H24" s="156">
        <f t="shared" si="3"/>
        <v>578000</v>
      </c>
      <c r="I24" s="156">
        <f t="shared" si="3"/>
        <v>578000</v>
      </c>
      <c r="J24" s="156">
        <f t="shared" si="3"/>
        <v>578000</v>
      </c>
      <c r="K24" s="156">
        <f t="shared" si="3"/>
        <v>578000</v>
      </c>
      <c r="L24" s="174">
        <f t="shared" si="3"/>
        <v>578000</v>
      </c>
      <c r="M24" s="173">
        <f t="shared" si="3"/>
        <v>578000</v>
      </c>
    </row>
    <row r="25" spans="1:13">
      <c r="A25" s="154"/>
      <c r="B25" s="154"/>
      <c r="C25" s="154"/>
      <c r="D25" s="154"/>
      <c r="E25" s="154"/>
      <c r="F25" s="154"/>
      <c r="G25" s="154"/>
      <c r="H25" s="154"/>
      <c r="I25" s="154"/>
      <c r="J25" s="154"/>
      <c r="K25" s="154"/>
      <c r="L25" s="154"/>
      <c r="M25" s="154"/>
    </row>
    <row r="26" spans="1:13">
      <c r="A26" s="199" t="s">
        <v>134</v>
      </c>
      <c r="B26" s="154"/>
      <c r="C26" s="154"/>
      <c r="D26" s="154"/>
      <c r="E26" s="154"/>
      <c r="F26" s="154"/>
      <c r="G26" s="154"/>
      <c r="H26" s="154"/>
      <c r="I26" s="154"/>
      <c r="J26" s="154"/>
      <c r="K26" s="154"/>
      <c r="L26" s="154"/>
      <c r="M26" s="154"/>
    </row>
    <row r="27" spans="1:13">
      <c r="A27" t="s">
        <v>147</v>
      </c>
      <c r="B27" t="s">
        <v>154</v>
      </c>
    </row>
    <row r="28" spans="1:13">
      <c r="A28" t="s">
        <v>135</v>
      </c>
      <c r="B28" t="s">
        <v>148</v>
      </c>
    </row>
  </sheetData>
  <mergeCells count="3">
    <mergeCell ref="D5:M5"/>
    <mergeCell ref="A16:C16"/>
    <mergeCell ref="D18:M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28"/>
  <sheetViews>
    <sheetView zoomScale="85" zoomScaleNormal="85" zoomScalePageLayoutView="85" workbookViewId="0">
      <selection activeCell="F28" sqref="F28"/>
    </sheetView>
  </sheetViews>
  <sheetFormatPr defaultColWidth="8.85546875" defaultRowHeight="15" outlineLevelRow="2" outlineLevelCol="1"/>
  <cols>
    <col min="1" max="1" width="22.42578125" customWidth="1"/>
    <col min="2" max="2" width="23.28515625" customWidth="1"/>
    <col min="3" max="3" width="22.42578125" customWidth="1"/>
    <col min="5" max="5" width="17.85546875" customWidth="1"/>
    <col min="6" max="8" width="19.28515625" customWidth="1" outlineLevel="1"/>
    <col min="10" max="10" width="35.28515625" bestFit="1" customWidth="1"/>
    <col min="11" max="11" width="15" bestFit="1" customWidth="1"/>
  </cols>
  <sheetData>
    <row r="1" spans="1:8" ht="41.25" customHeight="1" thickBot="1">
      <c r="A1" s="427" t="s">
        <v>123</v>
      </c>
      <c r="B1" s="427"/>
      <c r="C1" s="427"/>
      <c r="D1" s="428"/>
      <c r="E1" s="140" t="s">
        <v>39</v>
      </c>
      <c r="F1" s="141" t="s">
        <v>192</v>
      </c>
      <c r="G1" s="141" t="s">
        <v>91</v>
      </c>
      <c r="H1" s="141" t="s">
        <v>91</v>
      </c>
    </row>
    <row r="2" spans="1:8" ht="15.75" thickBot="1">
      <c r="A2" s="89" t="s">
        <v>0</v>
      </c>
      <c r="B2" s="146" t="s">
        <v>95</v>
      </c>
      <c r="C2" s="146" t="s">
        <v>94</v>
      </c>
      <c r="D2" s="146" t="s">
        <v>25</v>
      </c>
      <c r="E2" s="32"/>
      <c r="F2" s="32"/>
      <c r="G2" s="32"/>
      <c r="H2" s="32"/>
    </row>
    <row r="3" spans="1:8" ht="15.75" thickBot="1">
      <c r="A3" s="431" t="s">
        <v>157</v>
      </c>
      <c r="B3" s="432"/>
      <c r="C3" s="432"/>
      <c r="D3" s="151"/>
      <c r="E3" s="148">
        <f>E4+E25</f>
        <v>19850000</v>
      </c>
      <c r="F3" s="149">
        <f>F4+F25</f>
        <v>19850000</v>
      </c>
      <c r="G3" s="149">
        <f>G4+G25</f>
        <v>0</v>
      </c>
      <c r="H3" s="150">
        <f>H4+H25</f>
        <v>0</v>
      </c>
    </row>
    <row r="4" spans="1:8" ht="15.75" outlineLevel="1" thickBot="1">
      <c r="A4" s="32" t="s">
        <v>136</v>
      </c>
      <c r="B4" s="32"/>
      <c r="C4" s="32"/>
      <c r="D4" s="47"/>
      <c r="E4" s="148">
        <f>SUM(E5:E24)</f>
        <v>2200000</v>
      </c>
      <c r="F4" s="149">
        <f>SUM(F5:F24)</f>
        <v>2200000</v>
      </c>
      <c r="G4" s="149">
        <f>SUM(G5:G24)</f>
        <v>0</v>
      </c>
      <c r="H4" s="150">
        <f>SUM(H5:H24)</f>
        <v>0</v>
      </c>
    </row>
    <row r="5" spans="1:8" outlineLevel="2">
      <c r="A5" s="425" t="s">
        <v>92</v>
      </c>
      <c r="B5" s="426" t="s">
        <v>93</v>
      </c>
      <c r="C5" s="426">
        <v>711003</v>
      </c>
      <c r="D5" s="137" t="s">
        <v>29</v>
      </c>
      <c r="E5" s="134">
        <f>SUM(F5:H5)</f>
        <v>2200000</v>
      </c>
      <c r="F5" s="223">
        <v>2200000</v>
      </c>
      <c r="G5" s="224"/>
      <c r="H5" s="229"/>
    </row>
    <row r="6" spans="1:8" outlineLevel="2">
      <c r="A6" s="425"/>
      <c r="B6" s="426"/>
      <c r="C6" s="426"/>
      <c r="D6" s="138" t="s">
        <v>30</v>
      </c>
      <c r="E6" s="135">
        <f>SUM(F6:H6)</f>
        <v>0</v>
      </c>
      <c r="F6" s="225"/>
      <c r="G6" s="226"/>
      <c r="H6" s="230"/>
    </row>
    <row r="7" spans="1:8" outlineLevel="2">
      <c r="A7" s="425"/>
      <c r="B7" s="426"/>
      <c r="C7" s="426"/>
      <c r="D7" s="138" t="s">
        <v>31</v>
      </c>
      <c r="E7" s="135">
        <f t="shared" ref="E7:E14" si="0">SUM(F7:H7)</f>
        <v>0</v>
      </c>
      <c r="F7" s="225"/>
      <c r="G7" s="226"/>
      <c r="H7" s="230"/>
    </row>
    <row r="8" spans="1:8" outlineLevel="2">
      <c r="A8" s="425"/>
      <c r="B8" s="426"/>
      <c r="C8" s="426"/>
      <c r="D8" s="138" t="s">
        <v>32</v>
      </c>
      <c r="E8" s="135">
        <f t="shared" si="0"/>
        <v>0</v>
      </c>
      <c r="F8" s="225"/>
      <c r="G8" s="226"/>
      <c r="H8" s="230"/>
    </row>
    <row r="9" spans="1:8" outlineLevel="2">
      <c r="A9" s="425"/>
      <c r="B9" s="426"/>
      <c r="C9" s="426"/>
      <c r="D9" s="138" t="s">
        <v>33</v>
      </c>
      <c r="E9" s="135">
        <f t="shared" si="0"/>
        <v>0</v>
      </c>
      <c r="F9" s="225"/>
      <c r="G9" s="226"/>
      <c r="H9" s="230"/>
    </row>
    <row r="10" spans="1:8" outlineLevel="2">
      <c r="A10" s="425"/>
      <c r="B10" s="426"/>
      <c r="C10" s="426"/>
      <c r="D10" s="138" t="s">
        <v>34</v>
      </c>
      <c r="E10" s="135">
        <f t="shared" si="0"/>
        <v>0</v>
      </c>
      <c r="F10" s="225"/>
      <c r="G10" s="226"/>
      <c r="H10" s="230"/>
    </row>
    <row r="11" spans="1:8" outlineLevel="2">
      <c r="A11" s="425"/>
      <c r="B11" s="426"/>
      <c r="C11" s="426"/>
      <c r="D11" s="138" t="s">
        <v>35</v>
      </c>
      <c r="E11" s="135">
        <f t="shared" si="0"/>
        <v>0</v>
      </c>
      <c r="F11" s="225"/>
      <c r="G11" s="226"/>
      <c r="H11" s="230"/>
    </row>
    <row r="12" spans="1:8" outlineLevel="2">
      <c r="A12" s="425"/>
      <c r="B12" s="426"/>
      <c r="C12" s="426"/>
      <c r="D12" s="138" t="s">
        <v>36</v>
      </c>
      <c r="E12" s="135">
        <f t="shared" si="0"/>
        <v>0</v>
      </c>
      <c r="F12" s="225"/>
      <c r="G12" s="226"/>
      <c r="H12" s="230"/>
    </row>
    <row r="13" spans="1:8" outlineLevel="2">
      <c r="A13" s="425"/>
      <c r="B13" s="426"/>
      <c r="C13" s="426"/>
      <c r="D13" s="138" t="s">
        <v>37</v>
      </c>
      <c r="E13" s="135">
        <f t="shared" si="0"/>
        <v>0</v>
      </c>
      <c r="F13" s="225"/>
      <c r="G13" s="226"/>
      <c r="H13" s="230"/>
    </row>
    <row r="14" spans="1:8" ht="15.75" outlineLevel="2" thickBot="1">
      <c r="A14" s="425"/>
      <c r="B14" s="426"/>
      <c r="C14" s="426"/>
      <c r="D14" s="139" t="s">
        <v>38</v>
      </c>
      <c r="E14" s="135">
        <f t="shared" si="0"/>
        <v>0</v>
      </c>
      <c r="F14" s="227"/>
      <c r="G14" s="228"/>
      <c r="H14" s="231"/>
    </row>
    <row r="15" spans="1:8" outlineLevel="2">
      <c r="A15" s="425" t="s">
        <v>92</v>
      </c>
      <c r="B15" s="426" t="s">
        <v>98</v>
      </c>
      <c r="C15" s="426">
        <v>633013</v>
      </c>
      <c r="D15" s="137" t="s">
        <v>29</v>
      </c>
      <c r="E15" s="134">
        <f>SUM(F15:H15)</f>
        <v>0</v>
      </c>
      <c r="F15" s="223"/>
      <c r="G15" s="224"/>
      <c r="H15" s="229"/>
    </row>
    <row r="16" spans="1:8" outlineLevel="2">
      <c r="A16" s="425"/>
      <c r="B16" s="426"/>
      <c r="C16" s="426"/>
      <c r="D16" s="138" t="s">
        <v>30</v>
      </c>
      <c r="E16" s="135">
        <f>SUM(F16:H16)</f>
        <v>0</v>
      </c>
      <c r="F16" s="225"/>
      <c r="G16" s="226"/>
      <c r="H16" s="230"/>
    </row>
    <row r="17" spans="1:10" outlineLevel="2">
      <c r="A17" s="425"/>
      <c r="B17" s="426"/>
      <c r="C17" s="426"/>
      <c r="D17" s="138" t="s">
        <v>31</v>
      </c>
      <c r="E17" s="135">
        <f t="shared" ref="E17:E24" si="1">SUM(F17:H17)</f>
        <v>0</v>
      </c>
      <c r="F17" s="225"/>
      <c r="G17" s="226"/>
      <c r="H17" s="230"/>
    </row>
    <row r="18" spans="1:10" outlineLevel="2">
      <c r="A18" s="425"/>
      <c r="B18" s="426"/>
      <c r="C18" s="426"/>
      <c r="D18" s="138" t="s">
        <v>32</v>
      </c>
      <c r="E18" s="135">
        <f t="shared" si="1"/>
        <v>0</v>
      </c>
      <c r="F18" s="225"/>
      <c r="G18" s="226"/>
      <c r="H18" s="230"/>
    </row>
    <row r="19" spans="1:10" outlineLevel="2">
      <c r="A19" s="425"/>
      <c r="B19" s="426"/>
      <c r="C19" s="426"/>
      <c r="D19" s="138" t="s">
        <v>33</v>
      </c>
      <c r="E19" s="135">
        <f t="shared" si="1"/>
        <v>0</v>
      </c>
      <c r="F19" s="225"/>
      <c r="G19" s="226"/>
      <c r="H19" s="230"/>
    </row>
    <row r="20" spans="1:10" outlineLevel="2">
      <c r="A20" s="425"/>
      <c r="B20" s="426"/>
      <c r="C20" s="426"/>
      <c r="D20" s="138" t="s">
        <v>34</v>
      </c>
      <c r="E20" s="135">
        <f t="shared" si="1"/>
        <v>0</v>
      </c>
      <c r="F20" s="225"/>
      <c r="G20" s="226"/>
      <c r="H20" s="230"/>
    </row>
    <row r="21" spans="1:10" outlineLevel="2">
      <c r="A21" s="425"/>
      <c r="B21" s="426"/>
      <c r="C21" s="426"/>
      <c r="D21" s="138" t="s">
        <v>35</v>
      </c>
      <c r="E21" s="135">
        <f t="shared" si="1"/>
        <v>0</v>
      </c>
      <c r="F21" s="225"/>
      <c r="G21" s="226"/>
      <c r="H21" s="230"/>
    </row>
    <row r="22" spans="1:10" outlineLevel="2">
      <c r="A22" s="425"/>
      <c r="B22" s="426"/>
      <c r="C22" s="426"/>
      <c r="D22" s="138" t="s">
        <v>36</v>
      </c>
      <c r="E22" s="135">
        <f t="shared" si="1"/>
        <v>0</v>
      </c>
      <c r="F22" s="225"/>
      <c r="G22" s="226"/>
      <c r="H22" s="230"/>
    </row>
    <row r="23" spans="1:10" outlineLevel="2">
      <c r="A23" s="425"/>
      <c r="B23" s="426"/>
      <c r="C23" s="426"/>
      <c r="D23" s="138" t="s">
        <v>37</v>
      </c>
      <c r="E23" s="135">
        <f t="shared" si="1"/>
        <v>0</v>
      </c>
      <c r="F23" s="225"/>
      <c r="G23" s="226"/>
      <c r="H23" s="230"/>
    </row>
    <row r="24" spans="1:10" ht="15.75" outlineLevel="2" thickBot="1">
      <c r="A24" s="425"/>
      <c r="B24" s="426"/>
      <c r="C24" s="426"/>
      <c r="D24" s="139" t="s">
        <v>38</v>
      </c>
      <c r="E24" s="136">
        <f t="shared" si="1"/>
        <v>0</v>
      </c>
      <c r="F24" s="227"/>
      <c r="G24" s="228"/>
      <c r="H24" s="231"/>
    </row>
    <row r="25" spans="1:10" ht="15.75" outlineLevel="1" thickBot="1">
      <c r="A25" s="32" t="s">
        <v>137</v>
      </c>
      <c r="B25" s="32"/>
      <c r="C25" s="32"/>
      <c r="D25" s="47"/>
      <c r="E25" s="237">
        <f>SUM(E26:E55)</f>
        <v>17650000</v>
      </c>
      <c r="F25" s="238">
        <f>SUM(F26:F55)</f>
        <v>17650000</v>
      </c>
      <c r="G25" s="238">
        <f>SUM(G26:G55)</f>
        <v>0</v>
      </c>
      <c r="H25" s="239">
        <f>SUM(H26:H55)</f>
        <v>0</v>
      </c>
    </row>
    <row r="26" spans="1:10" outlineLevel="2">
      <c r="A26" s="425" t="s">
        <v>96</v>
      </c>
      <c r="B26" s="426" t="s">
        <v>93</v>
      </c>
      <c r="C26" s="426">
        <v>711003</v>
      </c>
      <c r="D26" s="137" t="s">
        <v>29</v>
      </c>
      <c r="E26" s="142">
        <f>SUM(F26:H26)</f>
        <v>3105000</v>
      </c>
      <c r="F26" s="218">
        <f>3105000</f>
        <v>3105000</v>
      </c>
      <c r="G26" s="215"/>
      <c r="H26" s="216"/>
    </row>
    <row r="27" spans="1:10" outlineLevel="2">
      <c r="A27" s="425"/>
      <c r="B27" s="426"/>
      <c r="C27" s="426"/>
      <c r="D27" s="138" t="s">
        <v>30</v>
      </c>
      <c r="E27" s="143">
        <f>SUM(F27:H27)</f>
        <v>4320000</v>
      </c>
      <c r="F27" s="218">
        <f>3405000+307500+607500</f>
        <v>4320000</v>
      </c>
      <c r="G27" s="218"/>
      <c r="H27" s="219"/>
    </row>
    <row r="28" spans="1:10" outlineLevel="2">
      <c r="A28" s="425"/>
      <c r="B28" s="426"/>
      <c r="C28" s="426"/>
      <c r="D28" s="138" t="s">
        <v>31</v>
      </c>
      <c r="E28" s="143">
        <f>SUM(F28:H28)</f>
        <v>3712500</v>
      </c>
      <c r="F28" s="218">
        <f t="shared" ref="F28:F29" si="2">3405000+307500</f>
        <v>3712500</v>
      </c>
      <c r="G28" s="218"/>
      <c r="H28" s="219"/>
      <c r="J28" s="250"/>
    </row>
    <row r="29" spans="1:10" outlineLevel="2">
      <c r="A29" s="425"/>
      <c r="B29" s="426"/>
      <c r="C29" s="426"/>
      <c r="D29" s="138" t="s">
        <v>32</v>
      </c>
      <c r="E29" s="143">
        <f t="shared" ref="E29:E55" si="3">SUM(F29:H29)</f>
        <v>3712500</v>
      </c>
      <c r="F29" s="218">
        <f t="shared" si="2"/>
        <v>3712500</v>
      </c>
      <c r="G29" s="218"/>
      <c r="H29" s="219"/>
    </row>
    <row r="30" spans="1:10" outlineLevel="2">
      <c r="A30" s="425"/>
      <c r="B30" s="426"/>
      <c r="C30" s="426"/>
      <c r="D30" s="138" t="s">
        <v>33</v>
      </c>
      <c r="E30" s="143">
        <f t="shared" si="3"/>
        <v>0</v>
      </c>
      <c r="F30" s="218"/>
      <c r="G30" s="218"/>
      <c r="H30" s="219"/>
    </row>
    <row r="31" spans="1:10" outlineLevel="2">
      <c r="A31" s="425"/>
      <c r="B31" s="426"/>
      <c r="C31" s="426"/>
      <c r="D31" s="138" t="s">
        <v>34</v>
      </c>
      <c r="E31" s="143">
        <f t="shared" si="3"/>
        <v>0</v>
      </c>
      <c r="F31" s="217"/>
      <c r="G31" s="218"/>
      <c r="H31" s="219"/>
    </row>
    <row r="32" spans="1:10" outlineLevel="2">
      <c r="A32" s="425"/>
      <c r="B32" s="426"/>
      <c r="C32" s="426"/>
      <c r="D32" s="138" t="s">
        <v>35</v>
      </c>
      <c r="E32" s="143">
        <f t="shared" si="3"/>
        <v>0</v>
      </c>
      <c r="F32" s="217"/>
      <c r="G32" s="218"/>
      <c r="H32" s="219"/>
    </row>
    <row r="33" spans="1:8" outlineLevel="2">
      <c r="A33" s="425"/>
      <c r="B33" s="426"/>
      <c r="C33" s="426"/>
      <c r="D33" s="138" t="s">
        <v>36</v>
      </c>
      <c r="E33" s="143">
        <f t="shared" si="3"/>
        <v>0</v>
      </c>
      <c r="F33" s="217"/>
      <c r="G33" s="218"/>
      <c r="H33" s="219"/>
    </row>
    <row r="34" spans="1:8" outlineLevel="2">
      <c r="A34" s="425"/>
      <c r="B34" s="426"/>
      <c r="C34" s="426"/>
      <c r="D34" s="138" t="s">
        <v>37</v>
      </c>
      <c r="E34" s="143">
        <f t="shared" si="3"/>
        <v>0</v>
      </c>
      <c r="F34" s="217"/>
      <c r="G34" s="218"/>
      <c r="H34" s="219"/>
    </row>
    <row r="35" spans="1:8" ht="15.75" outlineLevel="2" thickBot="1">
      <c r="A35" s="425"/>
      <c r="B35" s="426"/>
      <c r="C35" s="426"/>
      <c r="D35" s="139" t="s">
        <v>38</v>
      </c>
      <c r="E35" s="144">
        <f t="shared" si="3"/>
        <v>0</v>
      </c>
      <c r="F35" s="220"/>
      <c r="G35" s="221"/>
      <c r="H35" s="222"/>
    </row>
    <row r="36" spans="1:8" outlineLevel="2">
      <c r="A36" s="425" t="s">
        <v>96</v>
      </c>
      <c r="B36" s="426" t="s">
        <v>98</v>
      </c>
      <c r="C36" s="426">
        <v>633013</v>
      </c>
      <c r="D36" s="137" t="s">
        <v>29</v>
      </c>
      <c r="E36" s="143">
        <f t="shared" si="3"/>
        <v>670000</v>
      </c>
      <c r="F36" s="214">
        <v>670000</v>
      </c>
      <c r="G36" s="215"/>
      <c r="H36" s="216"/>
    </row>
    <row r="37" spans="1:8" outlineLevel="2">
      <c r="A37" s="425"/>
      <c r="B37" s="426"/>
      <c r="C37" s="426"/>
      <c r="D37" s="138" t="s">
        <v>30</v>
      </c>
      <c r="E37" s="143">
        <f t="shared" si="3"/>
        <v>670000</v>
      </c>
      <c r="F37" s="217">
        <v>670000</v>
      </c>
      <c r="G37" s="218"/>
      <c r="H37" s="219"/>
    </row>
    <row r="38" spans="1:8" outlineLevel="2">
      <c r="A38" s="425"/>
      <c r="B38" s="426"/>
      <c r="C38" s="426"/>
      <c r="D38" s="138" t="s">
        <v>31</v>
      </c>
      <c r="E38" s="143">
        <f t="shared" si="3"/>
        <v>670000</v>
      </c>
      <c r="F38" s="217">
        <v>670000</v>
      </c>
      <c r="G38" s="218"/>
      <c r="H38" s="219"/>
    </row>
    <row r="39" spans="1:8" outlineLevel="2">
      <c r="A39" s="425"/>
      <c r="B39" s="426"/>
      <c r="C39" s="426"/>
      <c r="D39" s="138" t="s">
        <v>32</v>
      </c>
      <c r="E39" s="143">
        <f t="shared" si="3"/>
        <v>670000</v>
      </c>
      <c r="F39" s="217">
        <v>670000</v>
      </c>
      <c r="G39" s="218"/>
      <c r="H39" s="219"/>
    </row>
    <row r="40" spans="1:8" outlineLevel="2">
      <c r="A40" s="425"/>
      <c r="B40" s="426"/>
      <c r="C40" s="426"/>
      <c r="D40" s="138" t="s">
        <v>33</v>
      </c>
      <c r="E40" s="143">
        <f t="shared" si="3"/>
        <v>0</v>
      </c>
      <c r="F40" s="217"/>
      <c r="G40" s="218"/>
      <c r="H40" s="219"/>
    </row>
    <row r="41" spans="1:8" outlineLevel="2">
      <c r="A41" s="425"/>
      <c r="B41" s="426"/>
      <c r="C41" s="426"/>
      <c r="D41" s="138" t="s">
        <v>34</v>
      </c>
      <c r="E41" s="143">
        <f t="shared" si="3"/>
        <v>0</v>
      </c>
      <c r="F41" s="217"/>
      <c r="G41" s="218"/>
      <c r="H41" s="219"/>
    </row>
    <row r="42" spans="1:8" outlineLevel="2">
      <c r="A42" s="425"/>
      <c r="B42" s="426"/>
      <c r="C42" s="426"/>
      <c r="D42" s="138" t="s">
        <v>35</v>
      </c>
      <c r="E42" s="143">
        <f t="shared" si="3"/>
        <v>0</v>
      </c>
      <c r="F42" s="217"/>
      <c r="G42" s="218"/>
      <c r="H42" s="219"/>
    </row>
    <row r="43" spans="1:8" outlineLevel="2">
      <c r="A43" s="425"/>
      <c r="B43" s="426"/>
      <c r="C43" s="426"/>
      <c r="D43" s="138" t="s">
        <v>36</v>
      </c>
      <c r="E43" s="143">
        <f t="shared" si="3"/>
        <v>0</v>
      </c>
      <c r="F43" s="217"/>
      <c r="G43" s="218"/>
      <c r="H43" s="219"/>
    </row>
    <row r="44" spans="1:8" outlineLevel="2">
      <c r="A44" s="425"/>
      <c r="B44" s="426"/>
      <c r="C44" s="426"/>
      <c r="D44" s="138" t="s">
        <v>37</v>
      </c>
      <c r="E44" s="143">
        <f t="shared" si="3"/>
        <v>0</v>
      </c>
      <c r="F44" s="217"/>
      <c r="G44" s="218"/>
      <c r="H44" s="219"/>
    </row>
    <row r="45" spans="1:8" ht="15.75" outlineLevel="2" thickBot="1">
      <c r="A45" s="425"/>
      <c r="B45" s="426"/>
      <c r="C45" s="426"/>
      <c r="D45" s="139" t="s">
        <v>38</v>
      </c>
      <c r="E45" s="144">
        <f t="shared" si="3"/>
        <v>0</v>
      </c>
      <c r="F45" s="220"/>
      <c r="G45" s="221"/>
      <c r="H45" s="222"/>
    </row>
    <row r="46" spans="1:8" outlineLevel="2">
      <c r="A46" s="425" t="s">
        <v>97</v>
      </c>
      <c r="B46" s="426" t="s">
        <v>98</v>
      </c>
      <c r="C46" s="426">
        <v>637001</v>
      </c>
      <c r="D46" s="137" t="s">
        <v>29</v>
      </c>
      <c r="E46" s="143">
        <f t="shared" si="3"/>
        <v>30000</v>
      </c>
      <c r="F46" s="218">
        <v>30000</v>
      </c>
      <c r="G46" s="215"/>
      <c r="H46" s="216"/>
    </row>
    <row r="47" spans="1:8" outlineLevel="2">
      <c r="A47" s="425"/>
      <c r="B47" s="426"/>
      <c r="C47" s="426"/>
      <c r="D47" s="138" t="s">
        <v>30</v>
      </c>
      <c r="E47" s="143">
        <f t="shared" si="3"/>
        <v>30000</v>
      </c>
      <c r="F47" s="218">
        <v>30000</v>
      </c>
      <c r="G47" s="218"/>
      <c r="H47" s="219"/>
    </row>
    <row r="48" spans="1:8" outlineLevel="2">
      <c r="A48" s="425"/>
      <c r="B48" s="426"/>
      <c r="C48" s="426"/>
      <c r="D48" s="138" t="s">
        <v>31</v>
      </c>
      <c r="E48" s="143">
        <f t="shared" si="3"/>
        <v>30000</v>
      </c>
      <c r="F48" s="218">
        <v>30000</v>
      </c>
      <c r="G48" s="218"/>
      <c r="H48" s="219"/>
    </row>
    <row r="49" spans="1:8" outlineLevel="2">
      <c r="A49" s="425"/>
      <c r="B49" s="426"/>
      <c r="C49" s="426"/>
      <c r="D49" s="138" t="s">
        <v>32</v>
      </c>
      <c r="E49" s="143">
        <f t="shared" si="3"/>
        <v>30000</v>
      </c>
      <c r="F49" s="218">
        <v>30000</v>
      </c>
      <c r="G49" s="218"/>
      <c r="H49" s="219"/>
    </row>
    <row r="50" spans="1:8" outlineLevel="2">
      <c r="A50" s="425"/>
      <c r="B50" s="426"/>
      <c r="C50" s="426"/>
      <c r="D50" s="138" t="s">
        <v>33</v>
      </c>
      <c r="E50" s="143">
        <f t="shared" si="3"/>
        <v>0</v>
      </c>
      <c r="F50" s="218"/>
      <c r="G50" s="218"/>
      <c r="H50" s="219"/>
    </row>
    <row r="51" spans="1:8" outlineLevel="2">
      <c r="A51" s="425"/>
      <c r="B51" s="426"/>
      <c r="C51" s="426"/>
      <c r="D51" s="138" t="s">
        <v>34</v>
      </c>
      <c r="E51" s="143">
        <f t="shared" si="3"/>
        <v>0</v>
      </c>
      <c r="F51" s="218"/>
      <c r="G51" s="218"/>
      <c r="H51" s="219"/>
    </row>
    <row r="52" spans="1:8" outlineLevel="2">
      <c r="A52" s="425"/>
      <c r="B52" s="426"/>
      <c r="C52" s="426"/>
      <c r="D52" s="138" t="s">
        <v>35</v>
      </c>
      <c r="E52" s="143">
        <f t="shared" si="3"/>
        <v>0</v>
      </c>
      <c r="F52" s="218"/>
      <c r="G52" s="218"/>
      <c r="H52" s="219"/>
    </row>
    <row r="53" spans="1:8" outlineLevel="2">
      <c r="A53" s="425"/>
      <c r="B53" s="426"/>
      <c r="C53" s="426"/>
      <c r="D53" s="138" t="s">
        <v>36</v>
      </c>
      <c r="E53" s="143">
        <f t="shared" si="3"/>
        <v>0</v>
      </c>
      <c r="F53" s="218"/>
      <c r="G53" s="218"/>
      <c r="H53" s="219"/>
    </row>
    <row r="54" spans="1:8" outlineLevel="2">
      <c r="A54" s="425"/>
      <c r="B54" s="426"/>
      <c r="C54" s="426"/>
      <c r="D54" s="138" t="s">
        <v>37</v>
      </c>
      <c r="E54" s="143">
        <f t="shared" si="3"/>
        <v>0</v>
      </c>
      <c r="F54" s="218"/>
      <c r="G54" s="218"/>
      <c r="H54" s="219"/>
    </row>
    <row r="55" spans="1:8" ht="15.75" outlineLevel="2" thickBot="1">
      <c r="A55" s="425"/>
      <c r="B55" s="426"/>
      <c r="C55" s="426"/>
      <c r="D55" s="138" t="s">
        <v>38</v>
      </c>
      <c r="E55" s="144">
        <f t="shared" si="3"/>
        <v>0</v>
      </c>
      <c r="F55" s="218"/>
      <c r="G55" s="221"/>
      <c r="H55" s="222"/>
    </row>
    <row r="56" spans="1:8" ht="15.75" thickBot="1">
      <c r="A56" s="429" t="s">
        <v>99</v>
      </c>
      <c r="B56" s="430"/>
      <c r="C56" s="430"/>
      <c r="D56" s="152"/>
      <c r="E56" s="148">
        <f>E57+E78</f>
        <v>16200000</v>
      </c>
      <c r="F56" s="149">
        <f>F57+F78</f>
        <v>16200000</v>
      </c>
      <c r="G56" s="149">
        <f>G57+G78</f>
        <v>0</v>
      </c>
      <c r="H56" s="150">
        <f>H57+H78</f>
        <v>0</v>
      </c>
    </row>
    <row r="57" spans="1:8" ht="15.75" outlineLevel="1" thickBot="1">
      <c r="A57" s="32" t="s">
        <v>136</v>
      </c>
      <c r="B57" s="32"/>
      <c r="C57" s="32"/>
      <c r="D57" s="47"/>
      <c r="E57" s="232">
        <f>SUM(E58:E77)</f>
        <v>1740000</v>
      </c>
      <c r="F57" s="233">
        <f>SUM(F58:F77)</f>
        <v>1740000</v>
      </c>
      <c r="G57" s="233">
        <f>SUM(G58:G77)</f>
        <v>0</v>
      </c>
      <c r="H57" s="70">
        <f>SUM(H58:H77)</f>
        <v>0</v>
      </c>
    </row>
    <row r="58" spans="1:8" outlineLevel="2">
      <c r="A58" s="425" t="s">
        <v>100</v>
      </c>
      <c r="B58" s="426" t="s">
        <v>101</v>
      </c>
      <c r="C58" s="426">
        <v>635009</v>
      </c>
      <c r="D58" s="137" t="s">
        <v>29</v>
      </c>
      <c r="E58" s="143">
        <f t="shared" ref="E58:E67" si="4">SUM(F58:H58)</f>
        <v>0</v>
      </c>
      <c r="F58" s="223"/>
      <c r="G58" s="224"/>
      <c r="H58" s="229"/>
    </row>
    <row r="59" spans="1:8" outlineLevel="2">
      <c r="A59" s="425"/>
      <c r="B59" s="426"/>
      <c r="C59" s="426"/>
      <c r="D59" s="138" t="s">
        <v>30</v>
      </c>
      <c r="E59" s="143">
        <f t="shared" si="4"/>
        <v>0</v>
      </c>
      <c r="F59" s="225"/>
      <c r="G59" s="226"/>
      <c r="H59" s="230"/>
    </row>
    <row r="60" spans="1:8" outlineLevel="2">
      <c r="A60" s="425"/>
      <c r="B60" s="426"/>
      <c r="C60" s="426"/>
      <c r="D60" s="138" t="s">
        <v>31</v>
      </c>
      <c r="E60" s="143">
        <f t="shared" si="4"/>
        <v>0</v>
      </c>
      <c r="F60" s="225"/>
      <c r="G60" s="226"/>
      <c r="H60" s="230"/>
    </row>
    <row r="61" spans="1:8" outlineLevel="2">
      <c r="A61" s="425"/>
      <c r="B61" s="426"/>
      <c r="C61" s="426"/>
      <c r="D61" s="138" t="s">
        <v>32</v>
      </c>
      <c r="E61" s="143">
        <f t="shared" si="4"/>
        <v>0</v>
      </c>
      <c r="F61" s="225"/>
      <c r="G61" s="226"/>
      <c r="H61" s="230"/>
    </row>
    <row r="62" spans="1:8" outlineLevel="2">
      <c r="A62" s="425"/>
      <c r="B62" s="426"/>
      <c r="C62" s="426"/>
      <c r="D62" s="138" t="s">
        <v>33</v>
      </c>
      <c r="E62" s="143">
        <f t="shared" si="4"/>
        <v>250000</v>
      </c>
      <c r="F62" s="225">
        <v>250000</v>
      </c>
      <c r="G62" s="226"/>
      <c r="H62" s="230"/>
    </row>
    <row r="63" spans="1:8" outlineLevel="2">
      <c r="A63" s="425"/>
      <c r="B63" s="426"/>
      <c r="C63" s="426"/>
      <c r="D63" s="138" t="s">
        <v>34</v>
      </c>
      <c r="E63" s="143">
        <f t="shared" si="4"/>
        <v>250000</v>
      </c>
      <c r="F63" s="225">
        <v>250000</v>
      </c>
      <c r="G63" s="226"/>
      <c r="H63" s="230"/>
    </row>
    <row r="64" spans="1:8" outlineLevel="2">
      <c r="A64" s="425"/>
      <c r="B64" s="426"/>
      <c r="C64" s="426"/>
      <c r="D64" s="138" t="s">
        <v>35</v>
      </c>
      <c r="E64" s="143">
        <f t="shared" si="4"/>
        <v>250000</v>
      </c>
      <c r="F64" s="225">
        <v>250000</v>
      </c>
      <c r="G64" s="226"/>
      <c r="H64" s="230"/>
    </row>
    <row r="65" spans="1:8" outlineLevel="2">
      <c r="A65" s="425"/>
      <c r="B65" s="426"/>
      <c r="C65" s="426"/>
      <c r="D65" s="138" t="s">
        <v>36</v>
      </c>
      <c r="E65" s="143">
        <f t="shared" si="4"/>
        <v>250000</v>
      </c>
      <c r="F65" s="225">
        <v>250000</v>
      </c>
      <c r="G65" s="226"/>
      <c r="H65" s="230"/>
    </row>
    <row r="66" spans="1:8" outlineLevel="2">
      <c r="A66" s="425"/>
      <c r="B66" s="426"/>
      <c r="C66" s="426"/>
      <c r="D66" s="138" t="s">
        <v>37</v>
      </c>
      <c r="E66" s="143">
        <f t="shared" si="4"/>
        <v>250000</v>
      </c>
      <c r="F66" s="225">
        <v>250000</v>
      </c>
      <c r="G66" s="226"/>
      <c r="H66" s="230"/>
    </row>
    <row r="67" spans="1:8" ht="15.75" outlineLevel="2" thickBot="1">
      <c r="A67" s="425"/>
      <c r="B67" s="426"/>
      <c r="C67" s="426"/>
      <c r="D67" s="139" t="s">
        <v>38</v>
      </c>
      <c r="E67" s="143">
        <f t="shared" si="4"/>
        <v>250000</v>
      </c>
      <c r="F67" s="225">
        <v>250000</v>
      </c>
      <c r="G67" s="228"/>
      <c r="H67" s="231"/>
    </row>
    <row r="68" spans="1:8" outlineLevel="2">
      <c r="A68" s="425" t="s">
        <v>102</v>
      </c>
      <c r="B68" s="426" t="s">
        <v>93</v>
      </c>
      <c r="C68" s="426">
        <v>718006</v>
      </c>
      <c r="D68" s="137" t="s">
        <v>29</v>
      </c>
      <c r="E68" s="143">
        <f t="shared" ref="E68:E72" si="5">SUM(F68:H68)</f>
        <v>0</v>
      </c>
      <c r="F68" s="224"/>
      <c r="G68" s="224"/>
      <c r="H68" s="229"/>
    </row>
    <row r="69" spans="1:8" outlineLevel="2">
      <c r="A69" s="425"/>
      <c r="B69" s="426"/>
      <c r="C69" s="426"/>
      <c r="D69" s="138" t="s">
        <v>30</v>
      </c>
      <c r="E69" s="143">
        <f t="shared" si="5"/>
        <v>0</v>
      </c>
      <c r="F69" s="226"/>
      <c r="G69" s="226"/>
      <c r="H69" s="230"/>
    </row>
    <row r="70" spans="1:8" outlineLevel="2">
      <c r="A70" s="425"/>
      <c r="B70" s="426"/>
      <c r="C70" s="426"/>
      <c r="D70" s="138" t="s">
        <v>31</v>
      </c>
      <c r="E70" s="143">
        <f t="shared" si="5"/>
        <v>0</v>
      </c>
      <c r="F70" s="226"/>
      <c r="G70" s="226"/>
      <c r="H70" s="230"/>
    </row>
    <row r="71" spans="1:8" outlineLevel="2">
      <c r="A71" s="425"/>
      <c r="B71" s="426"/>
      <c r="C71" s="426"/>
      <c r="D71" s="138" t="s">
        <v>32</v>
      </c>
      <c r="E71" s="143">
        <f t="shared" si="5"/>
        <v>0</v>
      </c>
      <c r="F71" s="226"/>
      <c r="G71" s="226"/>
      <c r="H71" s="230"/>
    </row>
    <row r="72" spans="1:8" outlineLevel="2">
      <c r="A72" s="425"/>
      <c r="B72" s="426"/>
      <c r="C72" s="426"/>
      <c r="D72" s="138" t="s">
        <v>33</v>
      </c>
      <c r="E72" s="143">
        <f t="shared" si="5"/>
        <v>0</v>
      </c>
      <c r="F72" s="226"/>
      <c r="G72" s="226"/>
      <c r="H72" s="230"/>
    </row>
    <row r="73" spans="1:8" outlineLevel="2">
      <c r="A73" s="425"/>
      <c r="B73" s="426"/>
      <c r="C73" s="426"/>
      <c r="D73" s="138" t="s">
        <v>34</v>
      </c>
      <c r="E73" s="143">
        <f t="shared" ref="E73:E77" si="6">SUM(F73:H73)</f>
        <v>0</v>
      </c>
      <c r="F73" s="226"/>
      <c r="G73" s="226"/>
      <c r="H73" s="230"/>
    </row>
    <row r="74" spans="1:8" outlineLevel="2">
      <c r="A74" s="425"/>
      <c r="B74" s="426"/>
      <c r="C74" s="426"/>
      <c r="D74" s="138" t="s">
        <v>35</v>
      </c>
      <c r="E74" s="143">
        <f t="shared" si="6"/>
        <v>120000</v>
      </c>
      <c r="F74" s="226">
        <v>120000</v>
      </c>
      <c r="G74" s="226"/>
      <c r="H74" s="230"/>
    </row>
    <row r="75" spans="1:8" outlineLevel="2">
      <c r="A75" s="425"/>
      <c r="B75" s="426"/>
      <c r="C75" s="426"/>
      <c r="D75" s="138" t="s">
        <v>36</v>
      </c>
      <c r="E75" s="143">
        <f t="shared" si="6"/>
        <v>0</v>
      </c>
      <c r="F75" s="226"/>
      <c r="G75" s="226"/>
      <c r="H75" s="230"/>
    </row>
    <row r="76" spans="1:8" outlineLevel="2">
      <c r="A76" s="425"/>
      <c r="B76" s="426"/>
      <c r="C76" s="426"/>
      <c r="D76" s="138" t="s">
        <v>37</v>
      </c>
      <c r="E76" s="143">
        <f t="shared" si="6"/>
        <v>0</v>
      </c>
      <c r="F76" s="226"/>
      <c r="G76" s="226"/>
      <c r="H76" s="230"/>
    </row>
    <row r="77" spans="1:8" ht="15.75" outlineLevel="2" thickBot="1">
      <c r="A77" s="425"/>
      <c r="B77" s="426"/>
      <c r="C77" s="426"/>
      <c r="D77" s="139" t="s">
        <v>38</v>
      </c>
      <c r="E77" s="143">
        <f t="shared" si="6"/>
        <v>120000</v>
      </c>
      <c r="F77" s="228">
        <v>120000</v>
      </c>
      <c r="G77" s="228"/>
      <c r="H77" s="231"/>
    </row>
    <row r="78" spans="1:8" ht="15.75" outlineLevel="1" thickBot="1">
      <c r="A78" s="32" t="s">
        <v>137</v>
      </c>
      <c r="B78" s="32"/>
      <c r="C78" s="32"/>
      <c r="D78" s="47"/>
      <c r="E78" s="234">
        <f>SUM(E79:E128)</f>
        <v>14460000</v>
      </c>
      <c r="F78" s="240">
        <f>SUM(F79:F128)</f>
        <v>14460000</v>
      </c>
      <c r="G78" s="235">
        <f>SUM(G79:G128)</f>
        <v>0</v>
      </c>
      <c r="H78" s="236">
        <f>SUM(H79:H128)</f>
        <v>0</v>
      </c>
    </row>
    <row r="79" spans="1:8" outlineLevel="2">
      <c r="A79" s="425" t="s">
        <v>104</v>
      </c>
      <c r="B79" s="426" t="s">
        <v>101</v>
      </c>
      <c r="C79" s="426">
        <v>635009</v>
      </c>
      <c r="D79" s="137" t="s">
        <v>29</v>
      </c>
      <c r="E79" s="143">
        <f t="shared" ref="E79:E83" si="7">SUM(F79:H79)</f>
        <v>0</v>
      </c>
      <c r="F79" s="225"/>
      <c r="G79" s="215"/>
      <c r="H79" s="216"/>
    </row>
    <row r="80" spans="1:8" outlineLevel="2">
      <c r="A80" s="425"/>
      <c r="B80" s="426"/>
      <c r="C80" s="426"/>
      <c r="D80" s="138" t="s">
        <v>30</v>
      </c>
      <c r="E80" s="143">
        <f t="shared" si="7"/>
        <v>0</v>
      </c>
      <c r="F80" s="225"/>
      <c r="G80" s="218"/>
      <c r="H80" s="219"/>
    </row>
    <row r="81" spans="1:8" outlineLevel="2">
      <c r="A81" s="425"/>
      <c r="B81" s="426"/>
      <c r="C81" s="426"/>
      <c r="D81" s="138" t="s">
        <v>31</v>
      </c>
      <c r="E81" s="143">
        <f t="shared" si="7"/>
        <v>840000</v>
      </c>
      <c r="F81" s="225">
        <v>840000</v>
      </c>
      <c r="G81" s="218"/>
      <c r="H81" s="219"/>
    </row>
    <row r="82" spans="1:8" outlineLevel="2">
      <c r="A82" s="425"/>
      <c r="B82" s="426"/>
      <c r="C82" s="426"/>
      <c r="D82" s="138" t="s">
        <v>32</v>
      </c>
      <c r="E82" s="143">
        <f t="shared" si="7"/>
        <v>840000</v>
      </c>
      <c r="F82" s="225">
        <v>840000</v>
      </c>
      <c r="G82" s="218"/>
      <c r="H82" s="219"/>
    </row>
    <row r="83" spans="1:8" outlineLevel="2">
      <c r="A83" s="425"/>
      <c r="B83" s="426"/>
      <c r="C83" s="426"/>
      <c r="D83" s="138" t="s">
        <v>33</v>
      </c>
      <c r="E83" s="143">
        <f t="shared" si="7"/>
        <v>1370000</v>
      </c>
      <c r="F83" s="225">
        <f>840000+530000</f>
        <v>1370000</v>
      </c>
      <c r="G83" s="218"/>
      <c r="H83" s="219"/>
    </row>
    <row r="84" spans="1:8" outlineLevel="2">
      <c r="A84" s="425"/>
      <c r="B84" s="426"/>
      <c r="C84" s="426"/>
      <c r="D84" s="138" t="s">
        <v>34</v>
      </c>
      <c r="E84" s="143">
        <f t="shared" ref="E84:E88" si="8">SUM(F84:H84)</f>
        <v>1370000</v>
      </c>
      <c r="F84" s="225">
        <f t="shared" ref="F84:F87" si="9">840000+530000</f>
        <v>1370000</v>
      </c>
      <c r="G84" s="218"/>
      <c r="H84" s="219"/>
    </row>
    <row r="85" spans="1:8" outlineLevel="2">
      <c r="A85" s="425"/>
      <c r="B85" s="426"/>
      <c r="C85" s="426"/>
      <c r="D85" s="138" t="s">
        <v>35</v>
      </c>
      <c r="E85" s="143">
        <f t="shared" si="8"/>
        <v>1370000</v>
      </c>
      <c r="F85" s="225">
        <f t="shared" si="9"/>
        <v>1370000</v>
      </c>
      <c r="G85" s="218"/>
      <c r="H85" s="219"/>
    </row>
    <row r="86" spans="1:8" outlineLevel="2">
      <c r="A86" s="425"/>
      <c r="B86" s="426"/>
      <c r="C86" s="426"/>
      <c r="D86" s="138" t="s">
        <v>36</v>
      </c>
      <c r="E86" s="143">
        <f t="shared" si="8"/>
        <v>1370000</v>
      </c>
      <c r="F86" s="225">
        <f t="shared" si="9"/>
        <v>1370000</v>
      </c>
      <c r="G86" s="218"/>
      <c r="H86" s="219"/>
    </row>
    <row r="87" spans="1:8" outlineLevel="2">
      <c r="A87" s="425"/>
      <c r="B87" s="426"/>
      <c r="C87" s="426"/>
      <c r="D87" s="138" t="s">
        <v>37</v>
      </c>
      <c r="E87" s="143">
        <f t="shared" si="8"/>
        <v>1370000</v>
      </c>
      <c r="F87" s="225">
        <f t="shared" si="9"/>
        <v>1370000</v>
      </c>
      <c r="G87" s="218"/>
      <c r="H87" s="219"/>
    </row>
    <row r="88" spans="1:8" ht="15.75" outlineLevel="2" thickBot="1">
      <c r="A88" s="425"/>
      <c r="B88" s="426"/>
      <c r="C88" s="426"/>
      <c r="D88" s="139" t="s">
        <v>38</v>
      </c>
      <c r="E88" s="143">
        <f t="shared" si="8"/>
        <v>1370000</v>
      </c>
      <c r="F88" s="225">
        <f>840000+530000</f>
        <v>1370000</v>
      </c>
      <c r="G88" s="221"/>
      <c r="H88" s="222"/>
    </row>
    <row r="89" spans="1:8" outlineLevel="2">
      <c r="A89" s="425" t="s">
        <v>105</v>
      </c>
      <c r="B89" s="426" t="s">
        <v>98</v>
      </c>
      <c r="C89" s="426">
        <v>637005</v>
      </c>
      <c r="D89" s="137" t="s">
        <v>29</v>
      </c>
      <c r="E89" s="143">
        <f t="shared" ref="E89:E96" si="10">SUM(F89:H89)</f>
        <v>0</v>
      </c>
      <c r="F89" s="214"/>
      <c r="G89" s="215"/>
      <c r="H89" s="216"/>
    </row>
    <row r="90" spans="1:8" outlineLevel="2">
      <c r="A90" s="425"/>
      <c r="B90" s="426"/>
      <c r="C90" s="426"/>
      <c r="D90" s="138" t="s">
        <v>30</v>
      </c>
      <c r="E90" s="143">
        <f t="shared" si="10"/>
        <v>0</v>
      </c>
      <c r="F90" s="217"/>
      <c r="G90" s="218"/>
      <c r="H90" s="219"/>
    </row>
    <row r="91" spans="1:8" outlineLevel="2">
      <c r="A91" s="425"/>
      <c r="B91" s="426"/>
      <c r="C91" s="426"/>
      <c r="D91" s="138" t="s">
        <v>31</v>
      </c>
      <c r="E91" s="143">
        <f t="shared" si="10"/>
        <v>30000</v>
      </c>
      <c r="F91" s="217">
        <v>30000</v>
      </c>
      <c r="G91" s="218"/>
      <c r="H91" s="219"/>
    </row>
    <row r="92" spans="1:8" outlineLevel="2">
      <c r="A92" s="425"/>
      <c r="B92" s="426"/>
      <c r="C92" s="426"/>
      <c r="D92" s="138" t="s">
        <v>32</v>
      </c>
      <c r="E92" s="143">
        <f t="shared" si="10"/>
        <v>30000</v>
      </c>
      <c r="F92" s="217">
        <v>30000</v>
      </c>
      <c r="G92" s="218"/>
      <c r="H92" s="219"/>
    </row>
    <row r="93" spans="1:8" outlineLevel="2">
      <c r="A93" s="425"/>
      <c r="B93" s="426"/>
      <c r="C93" s="426"/>
      <c r="D93" s="138" t="s">
        <v>33</v>
      </c>
      <c r="E93" s="143">
        <f t="shared" si="10"/>
        <v>60000</v>
      </c>
      <c r="F93" s="217">
        <v>60000</v>
      </c>
      <c r="G93" s="218"/>
      <c r="H93" s="219"/>
    </row>
    <row r="94" spans="1:8" outlineLevel="2">
      <c r="A94" s="425"/>
      <c r="B94" s="426"/>
      <c r="C94" s="426"/>
      <c r="D94" s="138" t="s">
        <v>34</v>
      </c>
      <c r="E94" s="143">
        <f t="shared" si="10"/>
        <v>60000</v>
      </c>
      <c r="F94" s="217">
        <v>60000</v>
      </c>
      <c r="G94" s="218"/>
      <c r="H94" s="219"/>
    </row>
    <row r="95" spans="1:8" outlineLevel="2">
      <c r="A95" s="425"/>
      <c r="B95" s="426"/>
      <c r="C95" s="426"/>
      <c r="D95" s="138" t="s">
        <v>35</v>
      </c>
      <c r="E95" s="143">
        <f t="shared" si="10"/>
        <v>60000</v>
      </c>
      <c r="F95" s="217">
        <v>60000</v>
      </c>
      <c r="G95" s="218"/>
      <c r="H95" s="219"/>
    </row>
    <row r="96" spans="1:8" outlineLevel="2">
      <c r="A96" s="425"/>
      <c r="B96" s="426"/>
      <c r="C96" s="426"/>
      <c r="D96" s="138" t="s">
        <v>36</v>
      </c>
      <c r="E96" s="143">
        <f t="shared" si="10"/>
        <v>60000</v>
      </c>
      <c r="F96" s="217">
        <v>60000</v>
      </c>
      <c r="G96" s="218"/>
      <c r="H96" s="219"/>
    </row>
    <row r="97" spans="1:8" outlineLevel="2">
      <c r="A97" s="425"/>
      <c r="B97" s="426"/>
      <c r="C97" s="426"/>
      <c r="D97" s="138" t="s">
        <v>37</v>
      </c>
      <c r="E97" s="143">
        <f t="shared" ref="E97:E128" si="11">SUM(F97:H97)</f>
        <v>60000</v>
      </c>
      <c r="F97" s="217">
        <v>60000</v>
      </c>
      <c r="G97" s="218"/>
      <c r="H97" s="219"/>
    </row>
    <row r="98" spans="1:8" ht="15.75" outlineLevel="2" thickBot="1">
      <c r="A98" s="425"/>
      <c r="B98" s="426"/>
      <c r="C98" s="426"/>
      <c r="D98" s="139" t="s">
        <v>38</v>
      </c>
      <c r="E98" s="143">
        <f t="shared" si="11"/>
        <v>60000</v>
      </c>
      <c r="F98" s="217">
        <v>60000</v>
      </c>
      <c r="G98" s="221"/>
      <c r="H98" s="222"/>
    </row>
    <row r="99" spans="1:8" outlineLevel="2">
      <c r="A99" s="425" t="s">
        <v>106</v>
      </c>
      <c r="B99" s="426" t="s">
        <v>93</v>
      </c>
      <c r="C99" s="426">
        <v>718006</v>
      </c>
      <c r="D99" s="137" t="s">
        <v>29</v>
      </c>
      <c r="E99" s="143">
        <f t="shared" si="11"/>
        <v>0</v>
      </c>
      <c r="F99" s="214"/>
      <c r="G99" s="215"/>
      <c r="H99" s="216"/>
    </row>
    <row r="100" spans="1:8" outlineLevel="2">
      <c r="A100" s="425"/>
      <c r="B100" s="426"/>
      <c r="C100" s="426"/>
      <c r="D100" s="138" t="s">
        <v>30</v>
      </c>
      <c r="E100" s="143">
        <f t="shared" si="11"/>
        <v>0</v>
      </c>
      <c r="F100" s="217"/>
      <c r="G100" s="218"/>
      <c r="H100" s="219"/>
    </row>
    <row r="101" spans="1:8" outlineLevel="2">
      <c r="A101" s="425"/>
      <c r="B101" s="426"/>
      <c r="C101" s="426"/>
      <c r="D101" s="138" t="s">
        <v>31</v>
      </c>
      <c r="E101" s="143">
        <f t="shared" si="11"/>
        <v>0</v>
      </c>
      <c r="F101" s="217"/>
      <c r="G101" s="218"/>
      <c r="H101" s="219"/>
    </row>
    <row r="102" spans="1:8" outlineLevel="2">
      <c r="A102" s="425"/>
      <c r="B102" s="426"/>
      <c r="C102" s="426"/>
      <c r="D102" s="138" t="s">
        <v>32</v>
      </c>
      <c r="E102" s="143">
        <f t="shared" si="11"/>
        <v>0</v>
      </c>
      <c r="F102" s="217"/>
      <c r="G102" s="218"/>
      <c r="H102" s="219"/>
    </row>
    <row r="103" spans="1:8" outlineLevel="2">
      <c r="A103" s="425"/>
      <c r="B103" s="426"/>
      <c r="C103" s="426"/>
      <c r="D103" s="138" t="s">
        <v>33</v>
      </c>
      <c r="E103" s="143">
        <f t="shared" si="11"/>
        <v>480000</v>
      </c>
      <c r="F103" s="217">
        <v>480000</v>
      </c>
      <c r="G103" s="218"/>
      <c r="H103" s="219"/>
    </row>
    <row r="104" spans="1:8" outlineLevel="2">
      <c r="A104" s="425"/>
      <c r="B104" s="426"/>
      <c r="C104" s="426"/>
      <c r="D104" s="138" t="s">
        <v>34</v>
      </c>
      <c r="E104" s="143">
        <f t="shared" si="11"/>
        <v>480000</v>
      </c>
      <c r="F104" s="217">
        <v>480000</v>
      </c>
      <c r="G104" s="218"/>
      <c r="H104" s="219"/>
    </row>
    <row r="105" spans="1:8" outlineLevel="2">
      <c r="A105" s="425"/>
      <c r="B105" s="426"/>
      <c r="C105" s="426"/>
      <c r="D105" s="138" t="s">
        <v>35</v>
      </c>
      <c r="E105" s="143">
        <f t="shared" si="11"/>
        <v>480000</v>
      </c>
      <c r="F105" s="217">
        <v>480000</v>
      </c>
      <c r="G105" s="218"/>
      <c r="H105" s="219"/>
    </row>
    <row r="106" spans="1:8" outlineLevel="2">
      <c r="A106" s="425"/>
      <c r="B106" s="426"/>
      <c r="C106" s="426"/>
      <c r="D106" s="138" t="s">
        <v>36</v>
      </c>
      <c r="E106" s="143">
        <f t="shared" si="11"/>
        <v>480000</v>
      </c>
      <c r="F106" s="217">
        <v>480000</v>
      </c>
      <c r="G106" s="218"/>
      <c r="H106" s="219"/>
    </row>
    <row r="107" spans="1:8" outlineLevel="2">
      <c r="A107" s="425"/>
      <c r="B107" s="426"/>
      <c r="C107" s="426"/>
      <c r="D107" s="138" t="s">
        <v>37</v>
      </c>
      <c r="E107" s="143">
        <f t="shared" si="11"/>
        <v>480000</v>
      </c>
      <c r="F107" s="217">
        <v>480000</v>
      </c>
      <c r="G107" s="218"/>
      <c r="H107" s="219"/>
    </row>
    <row r="108" spans="1:8" ht="15.75" outlineLevel="2" thickBot="1">
      <c r="A108" s="425"/>
      <c r="B108" s="426"/>
      <c r="C108" s="426"/>
      <c r="D108" s="139" t="s">
        <v>38</v>
      </c>
      <c r="E108" s="144">
        <f t="shared" si="11"/>
        <v>480000</v>
      </c>
      <c r="F108" s="217">
        <v>480000</v>
      </c>
      <c r="G108" s="221"/>
      <c r="H108" s="222"/>
    </row>
    <row r="109" spans="1:8" outlineLevel="2">
      <c r="A109" s="425" t="s">
        <v>107</v>
      </c>
      <c r="B109" s="426" t="s">
        <v>108</v>
      </c>
      <c r="C109" s="426"/>
      <c r="D109" s="137" t="s">
        <v>29</v>
      </c>
      <c r="E109" s="143">
        <f t="shared" si="11"/>
        <v>0</v>
      </c>
      <c r="F109" s="215"/>
      <c r="G109" s="215"/>
      <c r="H109" s="216"/>
    </row>
    <row r="110" spans="1:8" outlineLevel="2">
      <c r="A110" s="425"/>
      <c r="B110" s="426"/>
      <c r="C110" s="426"/>
      <c r="D110" s="138" t="s">
        <v>30</v>
      </c>
      <c r="E110" s="143">
        <f t="shared" si="11"/>
        <v>0</v>
      </c>
      <c r="F110" s="218"/>
      <c r="G110" s="218"/>
      <c r="H110" s="219"/>
    </row>
    <row r="111" spans="1:8" outlineLevel="2">
      <c r="A111" s="425"/>
      <c r="B111" s="426"/>
      <c r="C111" s="426"/>
      <c r="D111" s="138" t="s">
        <v>31</v>
      </c>
      <c r="E111" s="143">
        <f t="shared" si="11"/>
        <v>0</v>
      </c>
      <c r="F111" s="218"/>
      <c r="G111" s="218"/>
      <c r="H111" s="219"/>
    </row>
    <row r="112" spans="1:8" outlineLevel="2">
      <c r="A112" s="425"/>
      <c r="B112" s="426"/>
      <c r="C112" s="426"/>
      <c r="D112" s="138" t="s">
        <v>32</v>
      </c>
      <c r="E112" s="143">
        <f t="shared" si="11"/>
        <v>0</v>
      </c>
      <c r="F112" s="218"/>
      <c r="G112" s="218"/>
      <c r="H112" s="219"/>
    </row>
    <row r="113" spans="1:8" outlineLevel="2">
      <c r="A113" s="425"/>
      <c r="B113" s="426"/>
      <c r="C113" s="426"/>
      <c r="D113" s="138" t="s">
        <v>33</v>
      </c>
      <c r="E113" s="143">
        <f t="shared" si="11"/>
        <v>210000</v>
      </c>
      <c r="F113" s="218">
        <v>210000</v>
      </c>
      <c r="G113" s="218"/>
      <c r="H113" s="219"/>
    </row>
    <row r="114" spans="1:8" outlineLevel="2">
      <c r="A114" s="425"/>
      <c r="B114" s="426"/>
      <c r="C114" s="426"/>
      <c r="D114" s="138" t="s">
        <v>34</v>
      </c>
      <c r="E114" s="143">
        <f t="shared" si="11"/>
        <v>210000</v>
      </c>
      <c r="F114" s="218">
        <v>210000</v>
      </c>
      <c r="G114" s="218"/>
      <c r="H114" s="219"/>
    </row>
    <row r="115" spans="1:8" outlineLevel="2">
      <c r="A115" s="425"/>
      <c r="B115" s="426"/>
      <c r="C115" s="426"/>
      <c r="D115" s="138" t="s">
        <v>35</v>
      </c>
      <c r="E115" s="143">
        <f t="shared" si="11"/>
        <v>210000</v>
      </c>
      <c r="F115" s="218">
        <v>210000</v>
      </c>
      <c r="G115" s="218"/>
      <c r="H115" s="219"/>
    </row>
    <row r="116" spans="1:8" outlineLevel="2">
      <c r="A116" s="425"/>
      <c r="B116" s="426"/>
      <c r="C116" s="426"/>
      <c r="D116" s="138" t="s">
        <v>36</v>
      </c>
      <c r="E116" s="143">
        <f t="shared" si="11"/>
        <v>210000</v>
      </c>
      <c r="F116" s="218">
        <v>210000</v>
      </c>
      <c r="G116" s="218"/>
      <c r="H116" s="219"/>
    </row>
    <row r="117" spans="1:8" outlineLevel="2">
      <c r="A117" s="425"/>
      <c r="B117" s="426"/>
      <c r="C117" s="426"/>
      <c r="D117" s="138" t="s">
        <v>37</v>
      </c>
      <c r="E117" s="143">
        <f t="shared" si="11"/>
        <v>210000</v>
      </c>
      <c r="F117" s="218">
        <v>210000</v>
      </c>
      <c r="G117" s="218"/>
      <c r="H117" s="219"/>
    </row>
    <row r="118" spans="1:8" ht="15.75" outlineLevel="2" thickBot="1">
      <c r="A118" s="425"/>
      <c r="B118" s="426"/>
      <c r="C118" s="426"/>
      <c r="D118" s="139" t="s">
        <v>38</v>
      </c>
      <c r="E118" s="144">
        <f t="shared" si="11"/>
        <v>210000</v>
      </c>
      <c r="F118" s="217">
        <v>210000</v>
      </c>
      <c r="G118" s="221"/>
      <c r="H118" s="222"/>
    </row>
    <row r="119" spans="1:8" outlineLevel="2">
      <c r="A119" s="425" t="s">
        <v>97</v>
      </c>
      <c r="B119" s="426" t="s">
        <v>98</v>
      </c>
      <c r="C119" s="426">
        <v>637001</v>
      </c>
      <c r="D119" s="137" t="s">
        <v>29</v>
      </c>
      <c r="E119" s="143">
        <f>SUM(F119:H119)</f>
        <v>0</v>
      </c>
      <c r="F119" s="214"/>
      <c r="G119" s="215"/>
      <c r="H119" s="216"/>
    </row>
    <row r="120" spans="1:8" outlineLevel="2">
      <c r="A120" s="425"/>
      <c r="B120" s="426"/>
      <c r="C120" s="426"/>
      <c r="D120" s="138" t="s">
        <v>30</v>
      </c>
      <c r="E120" s="143">
        <f t="shared" si="11"/>
        <v>0</v>
      </c>
      <c r="F120" s="217"/>
      <c r="G120" s="218"/>
      <c r="H120" s="219"/>
    </row>
    <row r="121" spans="1:8" outlineLevel="2">
      <c r="A121" s="425"/>
      <c r="B121" s="426"/>
      <c r="C121" s="426"/>
      <c r="D121" s="138" t="s">
        <v>31</v>
      </c>
      <c r="E121" s="143">
        <f t="shared" si="11"/>
        <v>0</v>
      </c>
      <c r="F121" s="217"/>
      <c r="G121" s="218"/>
      <c r="H121" s="219"/>
    </row>
    <row r="122" spans="1:8" outlineLevel="2">
      <c r="A122" s="425"/>
      <c r="B122" s="426"/>
      <c r="C122" s="426"/>
      <c r="D122" s="138" t="s">
        <v>32</v>
      </c>
      <c r="E122" s="143">
        <f t="shared" si="11"/>
        <v>0</v>
      </c>
      <c r="F122" s="217"/>
      <c r="G122" s="218"/>
      <c r="H122" s="219"/>
    </row>
    <row r="123" spans="1:8" outlineLevel="2">
      <c r="A123" s="425"/>
      <c r="B123" s="426"/>
      <c r="C123" s="426"/>
      <c r="D123" s="138" t="s">
        <v>33</v>
      </c>
      <c r="E123" s="143">
        <f t="shared" si="11"/>
        <v>0</v>
      </c>
      <c r="F123" s="217"/>
      <c r="G123" s="218"/>
      <c r="H123" s="219"/>
    </row>
    <row r="124" spans="1:8" outlineLevel="2">
      <c r="A124" s="425"/>
      <c r="B124" s="426"/>
      <c r="C124" s="426"/>
      <c r="D124" s="138" t="s">
        <v>34</v>
      </c>
      <c r="E124" s="143">
        <f t="shared" si="11"/>
        <v>0</v>
      </c>
      <c r="F124" s="217"/>
      <c r="G124" s="218"/>
      <c r="H124" s="219"/>
    </row>
    <row r="125" spans="1:8" outlineLevel="2">
      <c r="A125" s="425"/>
      <c r="B125" s="426"/>
      <c r="C125" s="426"/>
      <c r="D125" s="138" t="s">
        <v>35</v>
      </c>
      <c r="E125" s="143">
        <f t="shared" si="11"/>
        <v>0</v>
      </c>
      <c r="F125" s="217"/>
      <c r="G125" s="218"/>
      <c r="H125" s="219"/>
    </row>
    <row r="126" spans="1:8" outlineLevel="2">
      <c r="A126" s="425"/>
      <c r="B126" s="426"/>
      <c r="C126" s="426"/>
      <c r="D126" s="138" t="s">
        <v>36</v>
      </c>
      <c r="E126" s="143">
        <f t="shared" si="11"/>
        <v>0</v>
      </c>
      <c r="F126" s="217"/>
      <c r="G126" s="218"/>
      <c r="H126" s="219"/>
    </row>
    <row r="127" spans="1:8" outlineLevel="2">
      <c r="A127" s="425"/>
      <c r="B127" s="426"/>
      <c r="C127" s="426"/>
      <c r="D127" s="138" t="s">
        <v>37</v>
      </c>
      <c r="E127" s="143">
        <f t="shared" si="11"/>
        <v>0</v>
      </c>
      <c r="F127" s="217"/>
      <c r="G127" s="218"/>
      <c r="H127" s="219"/>
    </row>
    <row r="128" spans="1:8" ht="15.75" outlineLevel="2" thickBot="1">
      <c r="A128" s="425"/>
      <c r="B128" s="426"/>
      <c r="C128" s="426"/>
      <c r="D128" s="139" t="s">
        <v>38</v>
      </c>
      <c r="E128" s="144">
        <f t="shared" si="11"/>
        <v>0</v>
      </c>
      <c r="F128" s="220"/>
      <c r="G128" s="221"/>
      <c r="H128" s="222"/>
    </row>
  </sheetData>
  <mergeCells count="39">
    <mergeCell ref="A36:A45"/>
    <mergeCell ref="B36:B45"/>
    <mergeCell ref="C36:C45"/>
    <mergeCell ref="A3:C3"/>
    <mergeCell ref="A46:A55"/>
    <mergeCell ref="B46:B55"/>
    <mergeCell ref="C46:C55"/>
    <mergeCell ref="A15:A24"/>
    <mergeCell ref="B15:B24"/>
    <mergeCell ref="C15:C24"/>
    <mergeCell ref="A26:A35"/>
    <mergeCell ref="B26:B35"/>
    <mergeCell ref="C26:C35"/>
    <mergeCell ref="C5:C14"/>
    <mergeCell ref="A5:A14"/>
    <mergeCell ref="B5:B14"/>
    <mergeCell ref="A56:C56"/>
    <mergeCell ref="A58:A67"/>
    <mergeCell ref="B58:B67"/>
    <mergeCell ref="C58:C67"/>
    <mergeCell ref="A68:A77"/>
    <mergeCell ref="B68:B77"/>
    <mergeCell ref="C68:C77"/>
    <mergeCell ref="A119:A128"/>
    <mergeCell ref="B119:B128"/>
    <mergeCell ref="C119:C128"/>
    <mergeCell ref="A1:D1"/>
    <mergeCell ref="A99:A108"/>
    <mergeCell ref="B99:B108"/>
    <mergeCell ref="C99:C108"/>
    <mergeCell ref="A109:A118"/>
    <mergeCell ref="B109:B118"/>
    <mergeCell ref="C109:C118"/>
    <mergeCell ref="A79:A88"/>
    <mergeCell ref="B79:B88"/>
    <mergeCell ref="C79:C88"/>
    <mergeCell ref="A89:A98"/>
    <mergeCell ref="B89:B98"/>
    <mergeCell ref="C89:C98"/>
  </mergeCells>
  <pageMargins left="0.7" right="0.7" top="0.75" bottom="0.75" header="0.3" footer="0.3"/>
  <pageSetup paperSize="9" orientation="portrait" r:id="rId1"/>
  <ignoredErrors>
    <ignoredError sqref="E7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84"/>
  <sheetViews>
    <sheetView zoomScale="85" zoomScaleNormal="85" zoomScalePageLayoutView="85" workbookViewId="0">
      <selection activeCell="A4" sqref="A4:A13"/>
    </sheetView>
  </sheetViews>
  <sheetFormatPr defaultColWidth="8.85546875" defaultRowHeight="15" outlineLevelRow="1" outlineLevelCol="1"/>
  <cols>
    <col min="1" max="1" width="22.42578125" customWidth="1"/>
    <col min="2" max="2" width="23.28515625" customWidth="1"/>
    <col min="3" max="3" width="22.42578125" customWidth="1"/>
    <col min="5" max="5" width="17.85546875" customWidth="1"/>
    <col min="6" max="8" width="19.28515625" customWidth="1" outlineLevel="1"/>
  </cols>
  <sheetData>
    <row r="1" spans="1:8" ht="25.35" customHeight="1" thickBot="1">
      <c r="A1" s="427" t="s">
        <v>122</v>
      </c>
      <c r="B1" s="427"/>
      <c r="C1" s="427"/>
      <c r="D1" s="428"/>
      <c r="E1" s="140" t="s">
        <v>39</v>
      </c>
      <c r="F1" s="141" t="s">
        <v>115</v>
      </c>
      <c r="G1" s="141" t="s">
        <v>116</v>
      </c>
      <c r="H1" s="141" t="s">
        <v>117</v>
      </c>
    </row>
    <row r="2" spans="1:8" ht="15.75" thickBot="1">
      <c r="A2" s="89" t="s">
        <v>0</v>
      </c>
      <c r="B2" s="146" t="s">
        <v>95</v>
      </c>
      <c r="C2" s="146" t="s">
        <v>94</v>
      </c>
      <c r="D2" s="146" t="s">
        <v>25</v>
      </c>
      <c r="E2" s="32"/>
      <c r="F2" s="32"/>
      <c r="G2" s="32"/>
      <c r="H2" s="32"/>
    </row>
    <row r="3" spans="1:8" ht="15.75" thickBot="1">
      <c r="A3" s="433" t="s">
        <v>109</v>
      </c>
      <c r="B3" s="433"/>
      <c r="C3" s="433"/>
      <c r="D3" s="145"/>
      <c r="E3" s="148">
        <f>SUM(E4:E33)</f>
        <v>0</v>
      </c>
      <c r="F3" s="149">
        <f>SUM(F4:F33)</f>
        <v>0</v>
      </c>
      <c r="G3" s="149">
        <f>SUM(G4:G33)</f>
        <v>0</v>
      </c>
      <c r="H3" s="150">
        <f>SUM(H4:H33)</f>
        <v>0</v>
      </c>
    </row>
    <row r="4" spans="1:8" outlineLevel="1">
      <c r="A4" s="425" t="s">
        <v>111</v>
      </c>
      <c r="B4" s="425" t="s">
        <v>114</v>
      </c>
      <c r="C4" s="426">
        <v>713002</v>
      </c>
      <c r="D4" s="137" t="s">
        <v>29</v>
      </c>
      <c r="E4" s="142">
        <f t="shared" ref="E4:E33" si="0">SUM(F4:H4)</f>
        <v>0</v>
      </c>
      <c r="F4" s="214"/>
      <c r="G4" s="215"/>
      <c r="H4" s="216"/>
    </row>
    <row r="5" spans="1:8" outlineLevel="1">
      <c r="A5" s="425"/>
      <c r="B5" s="426"/>
      <c r="C5" s="426"/>
      <c r="D5" s="138" t="s">
        <v>30</v>
      </c>
      <c r="E5" s="143">
        <f t="shared" si="0"/>
        <v>0</v>
      </c>
      <c r="F5" s="217"/>
      <c r="G5" s="218"/>
      <c r="H5" s="219"/>
    </row>
    <row r="6" spans="1:8" outlineLevel="1">
      <c r="A6" s="425"/>
      <c r="B6" s="426"/>
      <c r="C6" s="426"/>
      <c r="D6" s="138" t="s">
        <v>31</v>
      </c>
      <c r="E6" s="143">
        <f t="shared" si="0"/>
        <v>0</v>
      </c>
      <c r="F6" s="217"/>
      <c r="G6" s="218"/>
      <c r="H6" s="219"/>
    </row>
    <row r="7" spans="1:8" outlineLevel="1">
      <c r="A7" s="425"/>
      <c r="B7" s="426"/>
      <c r="C7" s="426"/>
      <c r="D7" s="138" t="s">
        <v>32</v>
      </c>
      <c r="E7" s="143">
        <f t="shared" si="0"/>
        <v>0</v>
      </c>
      <c r="F7" s="217"/>
      <c r="G7" s="218"/>
      <c r="H7" s="219"/>
    </row>
    <row r="8" spans="1:8" outlineLevel="1">
      <c r="A8" s="425"/>
      <c r="B8" s="426"/>
      <c r="C8" s="426"/>
      <c r="D8" s="138" t="s">
        <v>33</v>
      </c>
      <c r="E8" s="143">
        <f t="shared" si="0"/>
        <v>0</v>
      </c>
      <c r="F8" s="217"/>
      <c r="G8" s="218"/>
      <c r="H8" s="219"/>
    </row>
    <row r="9" spans="1:8" outlineLevel="1">
      <c r="A9" s="425"/>
      <c r="B9" s="426"/>
      <c r="C9" s="426"/>
      <c r="D9" s="138" t="s">
        <v>34</v>
      </c>
      <c r="E9" s="143">
        <f t="shared" si="0"/>
        <v>0</v>
      </c>
      <c r="F9" s="217"/>
      <c r="G9" s="218"/>
      <c r="H9" s="219"/>
    </row>
    <row r="10" spans="1:8" outlineLevel="1">
      <c r="A10" s="425"/>
      <c r="B10" s="426"/>
      <c r="C10" s="426"/>
      <c r="D10" s="138" t="s">
        <v>35</v>
      </c>
      <c r="E10" s="143">
        <f t="shared" si="0"/>
        <v>0</v>
      </c>
      <c r="F10" s="217"/>
      <c r="G10" s="218"/>
      <c r="H10" s="219"/>
    </row>
    <row r="11" spans="1:8" outlineLevel="1">
      <c r="A11" s="425"/>
      <c r="B11" s="426"/>
      <c r="C11" s="426"/>
      <c r="D11" s="138" t="s">
        <v>36</v>
      </c>
      <c r="E11" s="143">
        <f t="shared" si="0"/>
        <v>0</v>
      </c>
      <c r="F11" s="217"/>
      <c r="G11" s="218"/>
      <c r="H11" s="219"/>
    </row>
    <row r="12" spans="1:8" outlineLevel="1">
      <c r="A12" s="425"/>
      <c r="B12" s="426"/>
      <c r="C12" s="426"/>
      <c r="D12" s="138" t="s">
        <v>37</v>
      </c>
      <c r="E12" s="143">
        <f t="shared" si="0"/>
        <v>0</v>
      </c>
      <c r="F12" s="217"/>
      <c r="G12" s="218"/>
      <c r="H12" s="219"/>
    </row>
    <row r="13" spans="1:8" ht="15.75" outlineLevel="1" thickBot="1">
      <c r="A13" s="425"/>
      <c r="B13" s="426"/>
      <c r="C13" s="426"/>
      <c r="D13" s="139" t="s">
        <v>38</v>
      </c>
      <c r="E13" s="144">
        <f t="shared" si="0"/>
        <v>0</v>
      </c>
      <c r="F13" s="220"/>
      <c r="G13" s="221"/>
      <c r="H13" s="222"/>
    </row>
    <row r="14" spans="1:8" ht="15" customHeight="1" outlineLevel="1">
      <c r="A14" s="425" t="s">
        <v>112</v>
      </c>
      <c r="B14" s="425" t="s">
        <v>151</v>
      </c>
      <c r="C14" s="426">
        <v>633002</v>
      </c>
      <c r="D14" s="137" t="s">
        <v>29</v>
      </c>
      <c r="E14" s="143">
        <f t="shared" si="0"/>
        <v>0</v>
      </c>
      <c r="F14" s="214"/>
      <c r="G14" s="215"/>
      <c r="H14" s="216"/>
    </row>
    <row r="15" spans="1:8" outlineLevel="1">
      <c r="A15" s="425"/>
      <c r="B15" s="426"/>
      <c r="C15" s="426"/>
      <c r="D15" s="138" t="s">
        <v>30</v>
      </c>
      <c r="E15" s="143">
        <f t="shared" si="0"/>
        <v>0</v>
      </c>
      <c r="F15" s="217"/>
      <c r="G15" s="218"/>
      <c r="H15" s="219"/>
    </row>
    <row r="16" spans="1:8" outlineLevel="1">
      <c r="A16" s="425"/>
      <c r="B16" s="426"/>
      <c r="C16" s="426"/>
      <c r="D16" s="138" t="s">
        <v>31</v>
      </c>
      <c r="E16" s="143">
        <f t="shared" si="0"/>
        <v>0</v>
      </c>
      <c r="F16" s="217"/>
      <c r="G16" s="218"/>
      <c r="H16" s="219"/>
    </row>
    <row r="17" spans="1:8" outlineLevel="1">
      <c r="A17" s="425"/>
      <c r="B17" s="426"/>
      <c r="C17" s="426"/>
      <c r="D17" s="138" t="s">
        <v>32</v>
      </c>
      <c r="E17" s="143">
        <f t="shared" si="0"/>
        <v>0</v>
      </c>
      <c r="F17" s="217"/>
      <c r="G17" s="218"/>
      <c r="H17" s="219"/>
    </row>
    <row r="18" spans="1:8" outlineLevel="1">
      <c r="A18" s="425"/>
      <c r="B18" s="426"/>
      <c r="C18" s="426"/>
      <c r="D18" s="138" t="s">
        <v>33</v>
      </c>
      <c r="E18" s="143">
        <f t="shared" si="0"/>
        <v>0</v>
      </c>
      <c r="F18" s="217"/>
      <c r="G18" s="218"/>
      <c r="H18" s="219"/>
    </row>
    <row r="19" spans="1:8" outlineLevel="1">
      <c r="A19" s="425"/>
      <c r="B19" s="426"/>
      <c r="C19" s="426"/>
      <c r="D19" s="138" t="s">
        <v>34</v>
      </c>
      <c r="E19" s="143">
        <f t="shared" si="0"/>
        <v>0</v>
      </c>
      <c r="F19" s="217"/>
      <c r="G19" s="218"/>
      <c r="H19" s="219"/>
    </row>
    <row r="20" spans="1:8" outlineLevel="1">
      <c r="A20" s="425"/>
      <c r="B20" s="426"/>
      <c r="C20" s="426"/>
      <c r="D20" s="138" t="s">
        <v>35</v>
      </c>
      <c r="E20" s="143">
        <f t="shared" si="0"/>
        <v>0</v>
      </c>
      <c r="F20" s="217"/>
      <c r="G20" s="218"/>
      <c r="H20" s="219"/>
    </row>
    <row r="21" spans="1:8" outlineLevel="1">
      <c r="A21" s="425"/>
      <c r="B21" s="426"/>
      <c r="C21" s="426"/>
      <c r="D21" s="138" t="s">
        <v>36</v>
      </c>
      <c r="E21" s="143">
        <f t="shared" si="0"/>
        <v>0</v>
      </c>
      <c r="F21" s="217"/>
      <c r="G21" s="218"/>
      <c r="H21" s="219"/>
    </row>
    <row r="22" spans="1:8" outlineLevel="1">
      <c r="A22" s="425"/>
      <c r="B22" s="426"/>
      <c r="C22" s="426"/>
      <c r="D22" s="138" t="s">
        <v>37</v>
      </c>
      <c r="E22" s="143">
        <f t="shared" si="0"/>
        <v>0</v>
      </c>
      <c r="F22" s="217"/>
      <c r="G22" s="218"/>
      <c r="H22" s="219"/>
    </row>
    <row r="23" spans="1:8" ht="15.75" outlineLevel="1" thickBot="1">
      <c r="A23" s="425"/>
      <c r="B23" s="426"/>
      <c r="C23" s="426"/>
      <c r="D23" s="139" t="s">
        <v>38</v>
      </c>
      <c r="E23" s="144">
        <f t="shared" si="0"/>
        <v>0</v>
      </c>
      <c r="F23" s="220"/>
      <c r="G23" s="221"/>
      <c r="H23" s="222"/>
    </row>
    <row r="24" spans="1:8" outlineLevel="1">
      <c r="A24" s="425" t="s">
        <v>113</v>
      </c>
      <c r="B24" s="426" t="s">
        <v>98</v>
      </c>
      <c r="C24" s="426">
        <v>637001</v>
      </c>
      <c r="D24" s="137" t="s">
        <v>29</v>
      </c>
      <c r="E24" s="143">
        <f t="shared" si="0"/>
        <v>0</v>
      </c>
      <c r="F24" s="214"/>
      <c r="G24" s="215"/>
      <c r="H24" s="216"/>
    </row>
    <row r="25" spans="1:8" outlineLevel="1">
      <c r="A25" s="425"/>
      <c r="B25" s="426"/>
      <c r="C25" s="426"/>
      <c r="D25" s="138" t="s">
        <v>30</v>
      </c>
      <c r="E25" s="143">
        <f t="shared" si="0"/>
        <v>0</v>
      </c>
      <c r="F25" s="217"/>
      <c r="G25" s="218"/>
      <c r="H25" s="219"/>
    </row>
    <row r="26" spans="1:8" outlineLevel="1">
      <c r="A26" s="425"/>
      <c r="B26" s="426"/>
      <c r="C26" s="426"/>
      <c r="D26" s="138" t="s">
        <v>31</v>
      </c>
      <c r="E26" s="143">
        <f t="shared" si="0"/>
        <v>0</v>
      </c>
      <c r="F26" s="217"/>
      <c r="G26" s="218"/>
      <c r="H26" s="219"/>
    </row>
    <row r="27" spans="1:8" outlineLevel="1">
      <c r="A27" s="425"/>
      <c r="B27" s="426"/>
      <c r="C27" s="426"/>
      <c r="D27" s="138" t="s">
        <v>32</v>
      </c>
      <c r="E27" s="143">
        <f t="shared" si="0"/>
        <v>0</v>
      </c>
      <c r="F27" s="217"/>
      <c r="G27" s="218"/>
      <c r="H27" s="219"/>
    </row>
    <row r="28" spans="1:8" outlineLevel="1">
      <c r="A28" s="425"/>
      <c r="B28" s="426"/>
      <c r="C28" s="426"/>
      <c r="D28" s="138" t="s">
        <v>33</v>
      </c>
      <c r="E28" s="143">
        <f t="shared" si="0"/>
        <v>0</v>
      </c>
      <c r="F28" s="217"/>
      <c r="G28" s="218"/>
      <c r="H28" s="219"/>
    </row>
    <row r="29" spans="1:8" outlineLevel="1">
      <c r="A29" s="425"/>
      <c r="B29" s="426"/>
      <c r="C29" s="426"/>
      <c r="D29" s="138" t="s">
        <v>34</v>
      </c>
      <c r="E29" s="143">
        <f t="shared" si="0"/>
        <v>0</v>
      </c>
      <c r="F29" s="217"/>
      <c r="G29" s="218"/>
      <c r="H29" s="219"/>
    </row>
    <row r="30" spans="1:8" outlineLevel="1">
      <c r="A30" s="425"/>
      <c r="B30" s="426"/>
      <c r="C30" s="426"/>
      <c r="D30" s="138" t="s">
        <v>35</v>
      </c>
      <c r="E30" s="143">
        <f t="shared" si="0"/>
        <v>0</v>
      </c>
      <c r="F30" s="217"/>
      <c r="G30" s="218"/>
      <c r="H30" s="219"/>
    </row>
    <row r="31" spans="1:8" outlineLevel="1">
      <c r="A31" s="425"/>
      <c r="B31" s="426"/>
      <c r="C31" s="426"/>
      <c r="D31" s="138" t="s">
        <v>36</v>
      </c>
      <c r="E31" s="143">
        <f t="shared" si="0"/>
        <v>0</v>
      </c>
      <c r="F31" s="217"/>
      <c r="G31" s="218"/>
      <c r="H31" s="219"/>
    </row>
    <row r="32" spans="1:8" outlineLevel="1">
      <c r="A32" s="425"/>
      <c r="B32" s="426"/>
      <c r="C32" s="426"/>
      <c r="D32" s="138" t="s">
        <v>37</v>
      </c>
      <c r="E32" s="143">
        <f t="shared" si="0"/>
        <v>0</v>
      </c>
      <c r="F32" s="217"/>
      <c r="G32" s="218"/>
      <c r="H32" s="219"/>
    </row>
    <row r="33" spans="1:8" ht="15.75" outlineLevel="1" thickBot="1">
      <c r="A33" s="425"/>
      <c r="B33" s="426"/>
      <c r="C33" s="426"/>
      <c r="D33" s="139" t="s">
        <v>38</v>
      </c>
      <c r="E33" s="143">
        <f t="shared" si="0"/>
        <v>0</v>
      </c>
      <c r="F33" s="220"/>
      <c r="G33" s="221"/>
      <c r="H33" s="222"/>
    </row>
    <row r="34" spans="1:8" ht="15.75" thickBot="1">
      <c r="A34" s="434" t="s">
        <v>110</v>
      </c>
      <c r="B34" s="434"/>
      <c r="C34" s="434"/>
      <c r="D34" s="147"/>
      <c r="E34" s="148">
        <f>SUM(E35:E84)</f>
        <v>0</v>
      </c>
      <c r="F34" s="149">
        <f>SUM(F35:F84)</f>
        <v>0</v>
      </c>
      <c r="G34" s="149">
        <f>SUM(G35:G84)</f>
        <v>0</v>
      </c>
      <c r="H34" s="150">
        <f>SUM(H35:H84)</f>
        <v>0</v>
      </c>
    </row>
    <row r="35" spans="1:8" outlineLevel="1">
      <c r="A35" s="425" t="s">
        <v>118</v>
      </c>
      <c r="B35" s="426" t="s">
        <v>101</v>
      </c>
      <c r="C35" s="426">
        <v>635002</v>
      </c>
      <c r="D35" s="137" t="s">
        <v>29</v>
      </c>
      <c r="E35" s="142">
        <f>SUM(F35:H35)</f>
        <v>0</v>
      </c>
      <c r="F35" s="214"/>
      <c r="G35" s="215"/>
      <c r="H35" s="216"/>
    </row>
    <row r="36" spans="1:8" outlineLevel="1">
      <c r="A36" s="425"/>
      <c r="B36" s="426"/>
      <c r="C36" s="426"/>
      <c r="D36" s="138" t="s">
        <v>30</v>
      </c>
      <c r="E36" s="143">
        <f>SUM(F36:H36)</f>
        <v>0</v>
      </c>
      <c r="F36" s="217"/>
      <c r="G36" s="218"/>
      <c r="H36" s="219"/>
    </row>
    <row r="37" spans="1:8" outlineLevel="1">
      <c r="A37" s="425"/>
      <c r="B37" s="426"/>
      <c r="C37" s="426"/>
      <c r="D37" s="138" t="s">
        <v>31</v>
      </c>
      <c r="E37" s="143">
        <f t="shared" ref="E37:E84" si="1">SUM(F37:H37)</f>
        <v>0</v>
      </c>
      <c r="F37" s="217"/>
      <c r="G37" s="218"/>
      <c r="H37" s="219"/>
    </row>
    <row r="38" spans="1:8" outlineLevel="1">
      <c r="A38" s="425"/>
      <c r="B38" s="426"/>
      <c r="C38" s="426"/>
      <c r="D38" s="138" t="s">
        <v>32</v>
      </c>
      <c r="E38" s="143">
        <f t="shared" si="1"/>
        <v>0</v>
      </c>
      <c r="F38" s="217"/>
      <c r="G38" s="218"/>
      <c r="H38" s="219"/>
    </row>
    <row r="39" spans="1:8" outlineLevel="1">
      <c r="A39" s="425"/>
      <c r="B39" s="426"/>
      <c r="C39" s="426"/>
      <c r="D39" s="138" t="s">
        <v>33</v>
      </c>
      <c r="E39" s="143">
        <f t="shared" si="1"/>
        <v>0</v>
      </c>
      <c r="F39" s="217"/>
      <c r="G39" s="218"/>
      <c r="H39" s="219"/>
    </row>
    <row r="40" spans="1:8" outlineLevel="1">
      <c r="A40" s="425"/>
      <c r="B40" s="426"/>
      <c r="C40" s="426"/>
      <c r="D40" s="138" t="s">
        <v>34</v>
      </c>
      <c r="E40" s="143">
        <f t="shared" si="1"/>
        <v>0</v>
      </c>
      <c r="F40" s="217"/>
      <c r="G40" s="218"/>
      <c r="H40" s="219"/>
    </row>
    <row r="41" spans="1:8" outlineLevel="1">
      <c r="A41" s="425"/>
      <c r="B41" s="426"/>
      <c r="C41" s="426"/>
      <c r="D41" s="138" t="s">
        <v>35</v>
      </c>
      <c r="E41" s="143">
        <f t="shared" si="1"/>
        <v>0</v>
      </c>
      <c r="F41" s="217"/>
      <c r="G41" s="218"/>
      <c r="H41" s="219"/>
    </row>
    <row r="42" spans="1:8" outlineLevel="1">
      <c r="A42" s="425"/>
      <c r="B42" s="426"/>
      <c r="C42" s="426"/>
      <c r="D42" s="138" t="s">
        <v>36</v>
      </c>
      <c r="E42" s="143">
        <f t="shared" si="1"/>
        <v>0</v>
      </c>
      <c r="F42" s="217"/>
      <c r="G42" s="218"/>
      <c r="H42" s="219"/>
    </row>
    <row r="43" spans="1:8" outlineLevel="1">
      <c r="A43" s="425"/>
      <c r="B43" s="426"/>
      <c r="C43" s="426"/>
      <c r="D43" s="138" t="s">
        <v>37</v>
      </c>
      <c r="E43" s="143">
        <f t="shared" si="1"/>
        <v>0</v>
      </c>
      <c r="F43" s="217"/>
      <c r="G43" s="218"/>
      <c r="H43" s="219"/>
    </row>
    <row r="44" spans="1:8" ht="15.75" outlineLevel="1" thickBot="1">
      <c r="A44" s="425"/>
      <c r="B44" s="426"/>
      <c r="C44" s="426"/>
      <c r="D44" s="139" t="s">
        <v>38</v>
      </c>
      <c r="E44" s="144">
        <f t="shared" si="1"/>
        <v>0</v>
      </c>
      <c r="F44" s="220"/>
      <c r="G44" s="221"/>
      <c r="H44" s="222"/>
    </row>
    <row r="45" spans="1:8" outlineLevel="1">
      <c r="A45" s="425" t="s">
        <v>119</v>
      </c>
      <c r="B45" s="425" t="s">
        <v>114</v>
      </c>
      <c r="C45" s="426">
        <v>718002</v>
      </c>
      <c r="D45" s="137" t="s">
        <v>29</v>
      </c>
      <c r="E45" s="143">
        <f t="shared" si="1"/>
        <v>0</v>
      </c>
      <c r="F45" s="214"/>
      <c r="G45" s="215"/>
      <c r="H45" s="216"/>
    </row>
    <row r="46" spans="1:8" outlineLevel="1">
      <c r="A46" s="425"/>
      <c r="B46" s="426"/>
      <c r="C46" s="426"/>
      <c r="D46" s="138" t="s">
        <v>30</v>
      </c>
      <c r="E46" s="143">
        <f t="shared" si="1"/>
        <v>0</v>
      </c>
      <c r="F46" s="217"/>
      <c r="G46" s="218"/>
      <c r="H46" s="219"/>
    </row>
    <row r="47" spans="1:8" outlineLevel="1">
      <c r="A47" s="425"/>
      <c r="B47" s="426"/>
      <c r="C47" s="426"/>
      <c r="D47" s="138" t="s">
        <v>31</v>
      </c>
      <c r="E47" s="143">
        <f t="shared" si="1"/>
        <v>0</v>
      </c>
      <c r="F47" s="217"/>
      <c r="G47" s="218"/>
      <c r="H47" s="219"/>
    </row>
    <row r="48" spans="1:8" outlineLevel="1">
      <c r="A48" s="425"/>
      <c r="B48" s="426"/>
      <c r="C48" s="426"/>
      <c r="D48" s="138" t="s">
        <v>32</v>
      </c>
      <c r="E48" s="143">
        <f t="shared" si="1"/>
        <v>0</v>
      </c>
      <c r="F48" s="217"/>
      <c r="G48" s="218"/>
      <c r="H48" s="219"/>
    </row>
    <row r="49" spans="1:8" outlineLevel="1">
      <c r="A49" s="425"/>
      <c r="B49" s="426"/>
      <c r="C49" s="426"/>
      <c r="D49" s="138" t="s">
        <v>33</v>
      </c>
      <c r="E49" s="143">
        <f t="shared" si="1"/>
        <v>0</v>
      </c>
      <c r="F49" s="217"/>
      <c r="G49" s="218"/>
      <c r="H49" s="219"/>
    </row>
    <row r="50" spans="1:8" outlineLevel="1">
      <c r="A50" s="425"/>
      <c r="B50" s="426"/>
      <c r="C50" s="426"/>
      <c r="D50" s="138" t="s">
        <v>34</v>
      </c>
      <c r="E50" s="143">
        <f t="shared" si="1"/>
        <v>0</v>
      </c>
      <c r="F50" s="217"/>
      <c r="G50" s="218"/>
      <c r="H50" s="219"/>
    </row>
    <row r="51" spans="1:8" outlineLevel="1">
      <c r="A51" s="425"/>
      <c r="B51" s="426"/>
      <c r="C51" s="426"/>
      <c r="D51" s="138" t="s">
        <v>35</v>
      </c>
      <c r="E51" s="143">
        <f t="shared" si="1"/>
        <v>0</v>
      </c>
      <c r="F51" s="217"/>
      <c r="G51" s="218"/>
      <c r="H51" s="219"/>
    </row>
    <row r="52" spans="1:8" outlineLevel="1">
      <c r="A52" s="425"/>
      <c r="B52" s="426"/>
      <c r="C52" s="426"/>
      <c r="D52" s="138" t="s">
        <v>36</v>
      </c>
      <c r="E52" s="143">
        <f t="shared" si="1"/>
        <v>0</v>
      </c>
      <c r="F52" s="217"/>
      <c r="G52" s="218"/>
      <c r="H52" s="219"/>
    </row>
    <row r="53" spans="1:8" outlineLevel="1">
      <c r="A53" s="425"/>
      <c r="B53" s="426"/>
      <c r="C53" s="426"/>
      <c r="D53" s="138" t="s">
        <v>37</v>
      </c>
      <c r="E53" s="143">
        <f t="shared" si="1"/>
        <v>0</v>
      </c>
      <c r="F53" s="217"/>
      <c r="G53" s="218"/>
      <c r="H53" s="219"/>
    </row>
    <row r="54" spans="1:8" ht="15.75" outlineLevel="1" thickBot="1">
      <c r="A54" s="425"/>
      <c r="B54" s="426"/>
      <c r="C54" s="426"/>
      <c r="D54" s="139" t="s">
        <v>38</v>
      </c>
      <c r="E54" s="144">
        <f t="shared" si="1"/>
        <v>0</v>
      </c>
      <c r="F54" s="220"/>
      <c r="G54" s="221"/>
      <c r="H54" s="222"/>
    </row>
    <row r="55" spans="1:8" outlineLevel="1">
      <c r="A55" s="425" t="s">
        <v>120</v>
      </c>
      <c r="B55" s="426"/>
      <c r="C55" s="426"/>
      <c r="D55" s="137" t="s">
        <v>29</v>
      </c>
      <c r="E55" s="143">
        <f t="shared" si="1"/>
        <v>0</v>
      </c>
      <c r="F55" s="214"/>
      <c r="G55" s="215"/>
      <c r="H55" s="216"/>
    </row>
    <row r="56" spans="1:8" outlineLevel="1">
      <c r="A56" s="425"/>
      <c r="B56" s="426"/>
      <c r="C56" s="426"/>
      <c r="D56" s="138" t="s">
        <v>30</v>
      </c>
      <c r="E56" s="143">
        <f t="shared" si="1"/>
        <v>0</v>
      </c>
      <c r="F56" s="217"/>
      <c r="G56" s="218"/>
      <c r="H56" s="219"/>
    </row>
    <row r="57" spans="1:8" outlineLevel="1">
      <c r="A57" s="425"/>
      <c r="B57" s="426"/>
      <c r="C57" s="426"/>
      <c r="D57" s="138" t="s">
        <v>31</v>
      </c>
      <c r="E57" s="143">
        <f t="shared" si="1"/>
        <v>0</v>
      </c>
      <c r="F57" s="217"/>
      <c r="G57" s="218"/>
      <c r="H57" s="219"/>
    </row>
    <row r="58" spans="1:8" outlineLevel="1">
      <c r="A58" s="425"/>
      <c r="B58" s="426"/>
      <c r="C58" s="426"/>
      <c r="D58" s="138" t="s">
        <v>32</v>
      </c>
      <c r="E58" s="143">
        <f t="shared" si="1"/>
        <v>0</v>
      </c>
      <c r="F58" s="217"/>
      <c r="G58" s="218"/>
      <c r="H58" s="219"/>
    </row>
    <row r="59" spans="1:8" outlineLevel="1">
      <c r="A59" s="425"/>
      <c r="B59" s="426"/>
      <c r="C59" s="426"/>
      <c r="D59" s="138" t="s">
        <v>33</v>
      </c>
      <c r="E59" s="143">
        <f t="shared" si="1"/>
        <v>0</v>
      </c>
      <c r="F59" s="217"/>
      <c r="G59" s="218"/>
      <c r="H59" s="219"/>
    </row>
    <row r="60" spans="1:8" outlineLevel="1">
      <c r="A60" s="425"/>
      <c r="B60" s="426"/>
      <c r="C60" s="426"/>
      <c r="D60" s="138" t="s">
        <v>34</v>
      </c>
      <c r="E60" s="143">
        <f t="shared" si="1"/>
        <v>0</v>
      </c>
      <c r="F60" s="217"/>
      <c r="G60" s="218"/>
      <c r="H60" s="219"/>
    </row>
    <row r="61" spans="1:8" outlineLevel="1">
      <c r="A61" s="425"/>
      <c r="B61" s="426"/>
      <c r="C61" s="426"/>
      <c r="D61" s="138" t="s">
        <v>35</v>
      </c>
      <c r="E61" s="143">
        <f t="shared" si="1"/>
        <v>0</v>
      </c>
      <c r="F61" s="217"/>
      <c r="G61" s="218"/>
      <c r="H61" s="219"/>
    </row>
    <row r="62" spans="1:8" outlineLevel="1">
      <c r="A62" s="425"/>
      <c r="B62" s="426"/>
      <c r="C62" s="426"/>
      <c r="D62" s="138" t="s">
        <v>36</v>
      </c>
      <c r="E62" s="143">
        <f t="shared" si="1"/>
        <v>0</v>
      </c>
      <c r="F62" s="217"/>
      <c r="G62" s="218"/>
      <c r="H62" s="219"/>
    </row>
    <row r="63" spans="1:8" outlineLevel="1">
      <c r="A63" s="425"/>
      <c r="B63" s="426"/>
      <c r="C63" s="426"/>
      <c r="D63" s="138" t="s">
        <v>37</v>
      </c>
      <c r="E63" s="143">
        <f t="shared" si="1"/>
        <v>0</v>
      </c>
      <c r="F63" s="217"/>
      <c r="G63" s="218"/>
      <c r="H63" s="219"/>
    </row>
    <row r="64" spans="1:8" ht="15.75" outlineLevel="1" thickBot="1">
      <c r="A64" s="425"/>
      <c r="B64" s="426"/>
      <c r="C64" s="426"/>
      <c r="D64" s="139" t="s">
        <v>38</v>
      </c>
      <c r="E64" s="144">
        <f t="shared" si="1"/>
        <v>0</v>
      </c>
      <c r="F64" s="220"/>
      <c r="G64" s="221"/>
      <c r="H64" s="222"/>
    </row>
    <row r="65" spans="1:8" outlineLevel="1">
      <c r="A65" s="425" t="s">
        <v>121</v>
      </c>
      <c r="B65" s="426"/>
      <c r="C65" s="426"/>
      <c r="D65" s="137" t="s">
        <v>29</v>
      </c>
      <c r="E65" s="143">
        <f t="shared" si="1"/>
        <v>0</v>
      </c>
      <c r="F65" s="214"/>
      <c r="G65" s="215"/>
      <c r="H65" s="216"/>
    </row>
    <row r="66" spans="1:8" outlineLevel="1">
      <c r="A66" s="425"/>
      <c r="B66" s="426"/>
      <c r="C66" s="426"/>
      <c r="D66" s="138" t="s">
        <v>30</v>
      </c>
      <c r="E66" s="143">
        <f t="shared" si="1"/>
        <v>0</v>
      </c>
      <c r="F66" s="217"/>
      <c r="G66" s="218"/>
      <c r="H66" s="219"/>
    </row>
    <row r="67" spans="1:8" outlineLevel="1">
      <c r="A67" s="425"/>
      <c r="B67" s="426"/>
      <c r="C67" s="426"/>
      <c r="D67" s="138" t="s">
        <v>31</v>
      </c>
      <c r="E67" s="143">
        <f t="shared" si="1"/>
        <v>0</v>
      </c>
      <c r="F67" s="217"/>
      <c r="G67" s="218"/>
      <c r="H67" s="219"/>
    </row>
    <row r="68" spans="1:8" outlineLevel="1">
      <c r="A68" s="425"/>
      <c r="B68" s="426"/>
      <c r="C68" s="426"/>
      <c r="D68" s="138" t="s">
        <v>32</v>
      </c>
      <c r="E68" s="143">
        <f t="shared" si="1"/>
        <v>0</v>
      </c>
      <c r="F68" s="217"/>
      <c r="G68" s="218"/>
      <c r="H68" s="219"/>
    </row>
    <row r="69" spans="1:8" outlineLevel="1">
      <c r="A69" s="425"/>
      <c r="B69" s="426"/>
      <c r="C69" s="426"/>
      <c r="D69" s="138" t="s">
        <v>33</v>
      </c>
      <c r="E69" s="143">
        <f t="shared" si="1"/>
        <v>0</v>
      </c>
      <c r="F69" s="217"/>
      <c r="G69" s="218"/>
      <c r="H69" s="219"/>
    </row>
    <row r="70" spans="1:8" outlineLevel="1">
      <c r="A70" s="425"/>
      <c r="B70" s="426"/>
      <c r="C70" s="426"/>
      <c r="D70" s="138" t="s">
        <v>34</v>
      </c>
      <c r="E70" s="143">
        <f t="shared" si="1"/>
        <v>0</v>
      </c>
      <c r="F70" s="217"/>
      <c r="G70" s="218"/>
      <c r="H70" s="219"/>
    </row>
    <row r="71" spans="1:8" outlineLevel="1">
      <c r="A71" s="425"/>
      <c r="B71" s="426"/>
      <c r="C71" s="426"/>
      <c r="D71" s="138" t="s">
        <v>35</v>
      </c>
      <c r="E71" s="143">
        <f t="shared" si="1"/>
        <v>0</v>
      </c>
      <c r="F71" s="217"/>
      <c r="G71" s="218"/>
      <c r="H71" s="219"/>
    </row>
    <row r="72" spans="1:8" outlineLevel="1">
      <c r="A72" s="425"/>
      <c r="B72" s="426"/>
      <c r="C72" s="426"/>
      <c r="D72" s="138" t="s">
        <v>36</v>
      </c>
      <c r="E72" s="143">
        <f t="shared" si="1"/>
        <v>0</v>
      </c>
      <c r="F72" s="217"/>
      <c r="G72" s="218"/>
      <c r="H72" s="219"/>
    </row>
    <row r="73" spans="1:8" outlineLevel="1">
      <c r="A73" s="425"/>
      <c r="B73" s="426"/>
      <c r="C73" s="426"/>
      <c r="D73" s="138" t="s">
        <v>37</v>
      </c>
      <c r="E73" s="143">
        <f t="shared" si="1"/>
        <v>0</v>
      </c>
      <c r="F73" s="217"/>
      <c r="G73" s="218"/>
      <c r="H73" s="219"/>
    </row>
    <row r="74" spans="1:8" ht="15.75" outlineLevel="1" thickBot="1">
      <c r="A74" s="425"/>
      <c r="B74" s="426"/>
      <c r="C74" s="426"/>
      <c r="D74" s="139" t="s">
        <v>38</v>
      </c>
      <c r="E74" s="144">
        <f t="shared" si="1"/>
        <v>0</v>
      </c>
      <c r="F74" s="220"/>
      <c r="G74" s="221"/>
      <c r="H74" s="222"/>
    </row>
    <row r="75" spans="1:8" outlineLevel="1">
      <c r="A75" s="425" t="s">
        <v>113</v>
      </c>
      <c r="B75" s="426" t="s">
        <v>98</v>
      </c>
      <c r="C75" s="426">
        <v>637001</v>
      </c>
      <c r="D75" s="137" t="s">
        <v>29</v>
      </c>
      <c r="E75" s="143">
        <f t="shared" si="1"/>
        <v>0</v>
      </c>
      <c r="F75" s="214"/>
      <c r="G75" s="215"/>
      <c r="H75" s="216"/>
    </row>
    <row r="76" spans="1:8" outlineLevel="1">
      <c r="A76" s="425"/>
      <c r="B76" s="426"/>
      <c r="C76" s="426"/>
      <c r="D76" s="138" t="s">
        <v>30</v>
      </c>
      <c r="E76" s="143">
        <f t="shared" si="1"/>
        <v>0</v>
      </c>
      <c r="F76" s="217"/>
      <c r="G76" s="218"/>
      <c r="H76" s="219"/>
    </row>
    <row r="77" spans="1:8" outlineLevel="1">
      <c r="A77" s="425"/>
      <c r="B77" s="426"/>
      <c r="C77" s="426"/>
      <c r="D77" s="138" t="s">
        <v>31</v>
      </c>
      <c r="E77" s="143">
        <f t="shared" si="1"/>
        <v>0</v>
      </c>
      <c r="F77" s="217"/>
      <c r="G77" s="218"/>
      <c r="H77" s="219"/>
    </row>
    <row r="78" spans="1:8" outlineLevel="1">
      <c r="A78" s="425"/>
      <c r="B78" s="426"/>
      <c r="C78" s="426"/>
      <c r="D78" s="138" t="s">
        <v>32</v>
      </c>
      <c r="E78" s="143">
        <f t="shared" si="1"/>
        <v>0</v>
      </c>
      <c r="F78" s="217"/>
      <c r="G78" s="218"/>
      <c r="H78" s="219"/>
    </row>
    <row r="79" spans="1:8" outlineLevel="1">
      <c r="A79" s="425"/>
      <c r="B79" s="426"/>
      <c r="C79" s="426"/>
      <c r="D79" s="138" t="s">
        <v>33</v>
      </c>
      <c r="E79" s="143">
        <f t="shared" si="1"/>
        <v>0</v>
      </c>
      <c r="F79" s="217"/>
      <c r="G79" s="218"/>
      <c r="H79" s="219"/>
    </row>
    <row r="80" spans="1:8" outlineLevel="1">
      <c r="A80" s="425"/>
      <c r="B80" s="426"/>
      <c r="C80" s="426"/>
      <c r="D80" s="138" t="s">
        <v>34</v>
      </c>
      <c r="E80" s="143">
        <f t="shared" si="1"/>
        <v>0</v>
      </c>
      <c r="F80" s="217"/>
      <c r="G80" s="218"/>
      <c r="H80" s="219"/>
    </row>
    <row r="81" spans="1:8" outlineLevel="1">
      <c r="A81" s="425"/>
      <c r="B81" s="426"/>
      <c r="C81" s="426"/>
      <c r="D81" s="138" t="s">
        <v>35</v>
      </c>
      <c r="E81" s="143">
        <f t="shared" si="1"/>
        <v>0</v>
      </c>
      <c r="F81" s="217"/>
      <c r="G81" s="218"/>
      <c r="H81" s="219"/>
    </row>
    <row r="82" spans="1:8" outlineLevel="1">
      <c r="A82" s="425"/>
      <c r="B82" s="426"/>
      <c r="C82" s="426"/>
      <c r="D82" s="138" t="s">
        <v>36</v>
      </c>
      <c r="E82" s="143">
        <f t="shared" si="1"/>
        <v>0</v>
      </c>
      <c r="F82" s="217"/>
      <c r="G82" s="218"/>
      <c r="H82" s="219"/>
    </row>
    <row r="83" spans="1:8" outlineLevel="1">
      <c r="A83" s="425"/>
      <c r="B83" s="426"/>
      <c r="C83" s="426"/>
      <c r="D83" s="138" t="s">
        <v>37</v>
      </c>
      <c r="E83" s="143">
        <f t="shared" si="1"/>
        <v>0</v>
      </c>
      <c r="F83" s="217"/>
      <c r="G83" s="218"/>
      <c r="H83" s="219"/>
    </row>
    <row r="84" spans="1:8" ht="15.75" outlineLevel="1" thickBot="1">
      <c r="A84" s="425"/>
      <c r="B84" s="426"/>
      <c r="C84" s="426"/>
      <c r="D84" s="139" t="s">
        <v>38</v>
      </c>
      <c r="E84" s="144">
        <f t="shared" si="1"/>
        <v>0</v>
      </c>
      <c r="F84" s="220"/>
      <c r="G84" s="221"/>
      <c r="H84" s="222"/>
    </row>
  </sheetData>
  <mergeCells count="27">
    <mergeCell ref="A3:C3"/>
    <mergeCell ref="A24:A33"/>
    <mergeCell ref="B24:B33"/>
    <mergeCell ref="C24:C33"/>
    <mergeCell ref="A34:C34"/>
    <mergeCell ref="A4:A13"/>
    <mergeCell ref="B4:B13"/>
    <mergeCell ref="C4:C13"/>
    <mergeCell ref="A14:A23"/>
    <mergeCell ref="B14:B23"/>
    <mergeCell ref="C14:C23"/>
    <mergeCell ref="A1:D1"/>
    <mergeCell ref="A65:A74"/>
    <mergeCell ref="B65:B74"/>
    <mergeCell ref="C65:C74"/>
    <mergeCell ref="A75:A84"/>
    <mergeCell ref="B75:B84"/>
    <mergeCell ref="C75:C84"/>
    <mergeCell ref="A45:A54"/>
    <mergeCell ref="B45:B54"/>
    <mergeCell ref="C45:C54"/>
    <mergeCell ref="A55:A64"/>
    <mergeCell ref="B55:B64"/>
    <mergeCell ref="C55:C64"/>
    <mergeCell ref="A35:A44"/>
    <mergeCell ref="B35:B44"/>
    <mergeCell ref="C35:C44"/>
  </mergeCells>
  <pageMargins left="0.7" right="0.7" top="0.75" bottom="0.75" header="0.3" footer="0.3"/>
  <pageSetup paperSize="9" orientation="portrait" r:id="rId1"/>
  <ignoredErrors>
    <ignoredError sqref="E3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85" zoomScaleNormal="85" zoomScalePageLayoutView="85" workbookViewId="0">
      <selection activeCell="B9" sqref="B9:B10"/>
    </sheetView>
  </sheetViews>
  <sheetFormatPr defaultColWidth="8.85546875" defaultRowHeight="15"/>
  <cols>
    <col min="1" max="1" width="32.28515625" style="4" customWidth="1"/>
    <col min="2" max="2" width="66.7109375" style="4" customWidth="1"/>
    <col min="3" max="3" width="14.28515625" style="10" customWidth="1"/>
    <col min="4" max="4" width="23.42578125" style="4" customWidth="1"/>
    <col min="5" max="16384" width="8.85546875" style="4"/>
  </cols>
  <sheetData>
    <row r="1" spans="1:4" ht="18" thickTop="1" thickBot="1">
      <c r="A1" s="1" t="s">
        <v>0</v>
      </c>
      <c r="B1" s="2" t="s">
        <v>1</v>
      </c>
      <c r="C1" s="8" t="s">
        <v>11</v>
      </c>
      <c r="D1" s="3" t="s">
        <v>2</v>
      </c>
    </row>
    <row r="2" spans="1:4" ht="147" customHeight="1" thickTop="1" thickBot="1">
      <c r="A2" s="5" t="s">
        <v>3</v>
      </c>
      <c r="B2" s="6" t="s">
        <v>4</v>
      </c>
      <c r="C2" s="9" t="s">
        <v>12</v>
      </c>
      <c r="D2" s="50">
        <v>10</v>
      </c>
    </row>
    <row r="3" spans="1:4" ht="41.45" customHeight="1">
      <c r="A3" s="435" t="s">
        <v>5</v>
      </c>
      <c r="B3" s="449" t="s">
        <v>15</v>
      </c>
      <c r="C3" s="451" t="s">
        <v>13</v>
      </c>
      <c r="D3" s="437">
        <v>0.04</v>
      </c>
    </row>
    <row r="4" spans="1:4" ht="63" customHeight="1" thickBot="1">
      <c r="A4" s="436"/>
      <c r="B4" s="450"/>
      <c r="C4" s="452"/>
      <c r="D4" s="438"/>
    </row>
    <row r="5" spans="1:4" ht="49.5">
      <c r="A5" s="439" t="s">
        <v>6</v>
      </c>
      <c r="B5" s="7" t="s">
        <v>7</v>
      </c>
      <c r="C5" s="455" t="s">
        <v>13</v>
      </c>
      <c r="D5" s="441">
        <v>0.05</v>
      </c>
    </row>
    <row r="6" spans="1:4" ht="50.25" thickBot="1">
      <c r="A6" s="440"/>
      <c r="B6" s="6" t="s">
        <v>8</v>
      </c>
      <c r="C6" s="456"/>
      <c r="D6" s="442"/>
    </row>
    <row r="7" spans="1:4">
      <c r="A7" s="443" t="s">
        <v>9</v>
      </c>
      <c r="B7" s="447" t="s">
        <v>164</v>
      </c>
      <c r="C7" s="453" t="s">
        <v>17</v>
      </c>
      <c r="D7" s="445">
        <f>1110*1.352/162.5</f>
        <v>9.2352000000000007</v>
      </c>
    </row>
    <row r="8" spans="1:4" ht="131.25" customHeight="1" thickBot="1">
      <c r="A8" s="444"/>
      <c r="B8" s="448"/>
      <c r="C8" s="454"/>
      <c r="D8" s="446"/>
    </row>
    <row r="9" spans="1:4" ht="27.6" customHeight="1">
      <c r="A9" s="462" t="s">
        <v>10</v>
      </c>
      <c r="B9" s="462" t="s">
        <v>16</v>
      </c>
      <c r="C9" s="455" t="s">
        <v>14</v>
      </c>
      <c r="D9" s="445">
        <v>0.89</v>
      </c>
    </row>
    <row r="10" spans="1:4" ht="23.25" customHeight="1" thickBot="1">
      <c r="A10" s="463"/>
      <c r="B10" s="463"/>
      <c r="C10" s="456"/>
      <c r="D10" s="446"/>
    </row>
    <row r="11" spans="1:4" ht="15" customHeight="1">
      <c r="A11" s="459" t="s">
        <v>61</v>
      </c>
      <c r="B11" s="447" t="s">
        <v>150</v>
      </c>
      <c r="C11" s="457" t="s">
        <v>17</v>
      </c>
      <c r="D11" s="445">
        <f>879/173.928</f>
        <v>5.0538153718780183</v>
      </c>
    </row>
    <row r="12" spans="1:4" ht="15.75" customHeight="1" thickBot="1">
      <c r="A12" s="460"/>
      <c r="B12" s="461"/>
      <c r="C12" s="458"/>
      <c r="D12" s="446"/>
    </row>
    <row r="13" spans="1:4" ht="15" customHeight="1" thickBot="1">
      <c r="A13" s="187" t="s">
        <v>29</v>
      </c>
      <c r="B13" s="187" t="s">
        <v>142</v>
      </c>
      <c r="C13" s="188" t="s">
        <v>12</v>
      </c>
      <c r="D13" s="189">
        <v>2018</v>
      </c>
    </row>
    <row r="14" spans="1:4" ht="17.25" thickBot="1">
      <c r="A14" s="187" t="s">
        <v>31</v>
      </c>
      <c r="B14" s="187" t="s">
        <v>162</v>
      </c>
      <c r="C14" s="188" t="s">
        <v>12</v>
      </c>
      <c r="D14" s="189">
        <v>2020</v>
      </c>
    </row>
  </sheetData>
  <mergeCells count="19">
    <mergeCell ref="C11:C12"/>
    <mergeCell ref="A11:A12"/>
    <mergeCell ref="B11:B12"/>
    <mergeCell ref="D11:D12"/>
    <mergeCell ref="A9:A10"/>
    <mergeCell ref="D9:D10"/>
    <mergeCell ref="C9:C10"/>
    <mergeCell ref="B9:B10"/>
    <mergeCell ref="A3:A4"/>
    <mergeCell ref="D3:D4"/>
    <mergeCell ref="A5:A6"/>
    <mergeCell ref="D5:D6"/>
    <mergeCell ref="A7:A8"/>
    <mergeCell ref="D7:D8"/>
    <mergeCell ref="B7:B8"/>
    <mergeCell ref="B3:B4"/>
    <mergeCell ref="C3:C4"/>
    <mergeCell ref="C7:C8"/>
    <mergeCell ref="C5:C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heetViews>
  <sheetFormatPr defaultColWidth="11.42578125" defaultRowHeight="15"/>
  <cols>
    <col min="1" max="1" width="18.42578125" customWidth="1"/>
    <col min="2" max="11" width="15.42578125" bestFit="1" customWidth="1"/>
    <col min="13" max="13" width="17" customWidth="1"/>
    <col min="14" max="14" width="14.7109375" bestFit="1" customWidth="1"/>
  </cols>
  <sheetData>
    <row r="1" spans="1:14">
      <c r="A1" s="338" t="s">
        <v>283</v>
      </c>
      <c r="B1" s="339">
        <v>2019</v>
      </c>
      <c r="C1" s="339">
        <v>2020</v>
      </c>
      <c r="D1" s="339">
        <v>2021</v>
      </c>
      <c r="E1" s="339">
        <v>2022</v>
      </c>
      <c r="F1" s="339">
        <v>2023</v>
      </c>
      <c r="G1" s="353">
        <v>2024</v>
      </c>
      <c r="H1" s="340">
        <v>2025</v>
      </c>
      <c r="I1" s="339">
        <v>2026</v>
      </c>
      <c r="J1" s="339">
        <v>2027</v>
      </c>
      <c r="K1" s="339">
        <v>2028</v>
      </c>
      <c r="M1" s="341" t="s">
        <v>284</v>
      </c>
      <c r="N1" s="342">
        <v>0.04</v>
      </c>
    </row>
    <row r="2" spans="1:14">
      <c r="A2" s="338" t="s">
        <v>285</v>
      </c>
      <c r="B2" s="339">
        <v>1</v>
      </c>
      <c r="C2" s="339">
        <v>2</v>
      </c>
      <c r="D2" s="339">
        <v>3</v>
      </c>
      <c r="E2" s="339">
        <v>4</v>
      </c>
      <c r="F2" s="339">
        <v>5</v>
      </c>
      <c r="G2" s="353">
        <v>6</v>
      </c>
      <c r="H2" s="340">
        <v>7</v>
      </c>
      <c r="I2" s="339">
        <v>8</v>
      </c>
      <c r="J2" s="339">
        <v>9</v>
      </c>
      <c r="K2" s="339">
        <v>10</v>
      </c>
      <c r="M2" s="343" t="s">
        <v>286</v>
      </c>
      <c r="N2" s="344">
        <f>NPV($N$1,B7:K7)</f>
        <v>4829854.238467156</v>
      </c>
    </row>
    <row r="3" spans="1:14">
      <c r="A3" s="338"/>
      <c r="B3" s="339"/>
      <c r="C3" s="339"/>
      <c r="D3" s="339"/>
      <c r="E3" s="339"/>
      <c r="F3" s="339"/>
      <c r="G3" s="353"/>
      <c r="H3" s="340"/>
      <c r="I3" s="339"/>
      <c r="J3" s="339"/>
      <c r="K3" s="339"/>
      <c r="M3" s="343" t="s">
        <v>189</v>
      </c>
      <c r="N3" s="345">
        <f>IRR(B7:K7)</f>
        <v>0.13457114352999233</v>
      </c>
    </row>
    <row r="4" spans="1:14">
      <c r="A4" s="338" t="s">
        <v>287</v>
      </c>
      <c r="B4" s="344">
        <f>-'Indikatívny rozpočet'!BI54</f>
        <v>-6014480</v>
      </c>
      <c r="C4" s="344">
        <v>0</v>
      </c>
      <c r="D4" s="344" t="s">
        <v>257</v>
      </c>
      <c r="E4" s="344"/>
      <c r="F4" s="344"/>
      <c r="G4" s="354"/>
      <c r="H4" s="346"/>
      <c r="I4" s="344"/>
      <c r="J4" s="344"/>
      <c r="K4" s="344"/>
      <c r="M4" s="347"/>
    </row>
    <row r="5" spans="1:14">
      <c r="A5" s="338" t="s">
        <v>288</v>
      </c>
      <c r="B5" s="344"/>
      <c r="C5" s="344">
        <f>0.13*$B$4</f>
        <v>-781882.4</v>
      </c>
      <c r="D5" s="344">
        <f t="shared" ref="D5:K5" si="0">0.13*$B$4</f>
        <v>-781882.4</v>
      </c>
      <c r="E5" s="344">
        <f t="shared" si="0"/>
        <v>-781882.4</v>
      </c>
      <c r="F5" s="344">
        <f t="shared" si="0"/>
        <v>-781882.4</v>
      </c>
      <c r="G5" s="354">
        <f t="shared" si="0"/>
        <v>-781882.4</v>
      </c>
      <c r="H5" s="346">
        <f t="shared" si="0"/>
        <v>-781882.4</v>
      </c>
      <c r="I5" s="344">
        <f t="shared" si="0"/>
        <v>-781882.4</v>
      </c>
      <c r="J5" s="344">
        <f t="shared" si="0"/>
        <v>-781882.4</v>
      </c>
      <c r="K5" s="344">
        <f t="shared" si="0"/>
        <v>-781882.4</v>
      </c>
    </row>
    <row r="6" spans="1:14">
      <c r="A6" s="338" t="s">
        <v>294</v>
      </c>
      <c r="B6" s="344">
        <f>'Prínosy - Agendové IS'!$I$4*B9</f>
        <v>0</v>
      </c>
      <c r="C6" s="344">
        <f>'Prínosy - Agendové IS'!$I$5*C9</f>
        <v>0</v>
      </c>
      <c r="D6" s="344">
        <f>'Prínosy - Agendové IS'!$I$6*D9</f>
        <v>458667.96865612839</v>
      </c>
      <c r="E6" s="344">
        <f>'Prínosy - Agendové IS'!$I$7*E9</f>
        <v>1357657.1872221387</v>
      </c>
      <c r="F6" s="344">
        <f>'Prínosy - Agendové IS'!$I$8*F9</f>
        <v>2193533.6933010672</v>
      </c>
      <c r="G6" s="354">
        <f>'Prínosy - Agendové IS'!$I$9*G9</f>
        <v>3366534.8256859966</v>
      </c>
      <c r="H6" s="346">
        <f>'Prínosy - Agendové IS'!$I$10*H9</f>
        <v>3384795.0946935127</v>
      </c>
      <c r="I6" s="344">
        <f>'Prínosy - Agendové IS'!$I$11*I9</f>
        <v>3667882.7721482473</v>
      </c>
      <c r="J6" s="344">
        <f>'Prínosy - Agendové IS'!$I$12*J9</f>
        <v>3931277.3528799466</v>
      </c>
      <c r="K6" s="344">
        <f>'Prínosy - Agendové IS'!$I$13*K9</f>
        <v>3192617.4229200054</v>
      </c>
    </row>
    <row r="7" spans="1:14">
      <c r="A7" s="338" t="s">
        <v>289</v>
      </c>
      <c r="B7" s="344">
        <f t="shared" ref="B7:K7" si="1">SUM(B4:B6)</f>
        <v>-6014480</v>
      </c>
      <c r="C7" s="344">
        <f t="shared" si="1"/>
        <v>-781882.4</v>
      </c>
      <c r="D7" s="344">
        <f t="shared" si="1"/>
        <v>-323214.43134387163</v>
      </c>
      <c r="E7" s="344">
        <f t="shared" si="1"/>
        <v>575774.78722213872</v>
      </c>
      <c r="F7" s="344">
        <f t="shared" si="1"/>
        <v>1411651.2933010673</v>
      </c>
      <c r="G7" s="354">
        <f t="shared" si="1"/>
        <v>2584652.4256859967</v>
      </c>
      <c r="H7" s="346">
        <f t="shared" si="1"/>
        <v>2602912.6946935127</v>
      </c>
      <c r="I7" s="344">
        <f t="shared" si="1"/>
        <v>2886000.3721482474</v>
      </c>
      <c r="J7" s="344">
        <f t="shared" si="1"/>
        <v>3149394.9528799467</v>
      </c>
      <c r="K7" s="344">
        <f t="shared" si="1"/>
        <v>2410735.0229200055</v>
      </c>
    </row>
    <row r="8" spans="1:14">
      <c r="A8" s="338"/>
      <c r="B8" s="344">
        <f t="shared" ref="B8:K8" si="2">1/(1+$N$1)^(B2-1)</f>
        <v>1</v>
      </c>
      <c r="C8" s="344">
        <f t="shared" si="2"/>
        <v>0.96153846153846145</v>
      </c>
      <c r="D8" s="344">
        <f t="shared" si="2"/>
        <v>0.92455621301775137</v>
      </c>
      <c r="E8" s="344">
        <f t="shared" si="2"/>
        <v>0.88899635867091487</v>
      </c>
      <c r="F8" s="344">
        <f t="shared" si="2"/>
        <v>0.85480419102972571</v>
      </c>
      <c r="G8" s="354">
        <f t="shared" si="2"/>
        <v>0.82192710675935154</v>
      </c>
      <c r="H8" s="346">
        <f t="shared" si="2"/>
        <v>0.79031452573014571</v>
      </c>
      <c r="I8" s="344">
        <f t="shared" si="2"/>
        <v>0.75991781320206331</v>
      </c>
      <c r="J8" s="344">
        <f t="shared" si="2"/>
        <v>0.73069020500198378</v>
      </c>
      <c r="K8" s="344">
        <f t="shared" si="2"/>
        <v>0.70258673557883045</v>
      </c>
    </row>
    <row r="9" spans="1:14">
      <c r="A9" s="338" t="s">
        <v>290</v>
      </c>
      <c r="B9" s="348"/>
      <c r="C9" s="348">
        <v>0</v>
      </c>
      <c r="D9" s="348">
        <f>6.74%+17%</f>
        <v>0.2374</v>
      </c>
      <c r="E9" s="348">
        <f t="shared" ref="E9:K9" si="3">6.74%+17%</f>
        <v>0.2374</v>
      </c>
      <c r="F9" s="348">
        <f t="shared" si="3"/>
        <v>0.2374</v>
      </c>
      <c r="G9" s="348">
        <f t="shared" si="3"/>
        <v>0.2374</v>
      </c>
      <c r="H9" s="348">
        <f t="shared" si="3"/>
        <v>0.2374</v>
      </c>
      <c r="I9" s="348">
        <f t="shared" si="3"/>
        <v>0.2374</v>
      </c>
      <c r="J9" s="348">
        <f t="shared" si="3"/>
        <v>0.2374</v>
      </c>
      <c r="K9" s="348">
        <f t="shared" si="3"/>
        <v>0.2374</v>
      </c>
    </row>
    <row r="10" spans="1:14">
      <c r="A10" s="349" t="s">
        <v>291</v>
      </c>
      <c r="B10" s="350">
        <f t="shared" ref="B10:K10" si="4">B7*B8</f>
        <v>-6014480</v>
      </c>
      <c r="C10" s="350">
        <f t="shared" si="4"/>
        <v>-751810</v>
      </c>
      <c r="D10" s="350">
        <f t="shared" si="4"/>
        <v>-298829.91063597595</v>
      </c>
      <c r="E10" s="350">
        <f t="shared" si="4"/>
        <v>511861.68925500213</v>
      </c>
      <c r="F10" s="350">
        <f t="shared" si="4"/>
        <v>1206685.4417862848</v>
      </c>
      <c r="G10" s="355">
        <f t="shared" si="4"/>
        <v>2124395.8902226309</v>
      </c>
      <c r="H10" s="351">
        <f t="shared" si="4"/>
        <v>2057119.711823679</v>
      </c>
      <c r="I10" s="350">
        <f t="shared" si="4"/>
        <v>2193123.091703237</v>
      </c>
      <c r="J10" s="350">
        <f t="shared" si="4"/>
        <v>2301232.0437520612</v>
      </c>
      <c r="K10" s="350">
        <f t="shared" si="4"/>
        <v>1693750.4500989236</v>
      </c>
    </row>
    <row r="11" spans="1:14">
      <c r="A11" s="338" t="s">
        <v>292</v>
      </c>
      <c r="B11" s="344">
        <f>B10</f>
        <v>-6014480</v>
      </c>
      <c r="C11" s="344">
        <f t="shared" ref="C11:K11" si="5">C10+B11</f>
        <v>-6766290</v>
      </c>
      <c r="D11" s="344">
        <f t="shared" si="5"/>
        <v>-7065119.9106359761</v>
      </c>
      <c r="E11" s="344">
        <f t="shared" si="5"/>
        <v>-6553258.2213809742</v>
      </c>
      <c r="F11" s="344">
        <f t="shared" si="5"/>
        <v>-5346572.7795946896</v>
      </c>
      <c r="G11" s="354">
        <f t="shared" si="5"/>
        <v>-3222176.8893720587</v>
      </c>
      <c r="H11" s="346">
        <f t="shared" si="5"/>
        <v>-1165057.1775483796</v>
      </c>
      <c r="I11" s="344">
        <f t="shared" si="5"/>
        <v>1028065.9141548574</v>
      </c>
      <c r="J11" s="344">
        <f t="shared" si="5"/>
        <v>3329297.9579069186</v>
      </c>
      <c r="K11" s="344">
        <f t="shared" si="5"/>
        <v>5023048.408005842</v>
      </c>
    </row>
    <row r="12" spans="1:14">
      <c r="G12" s="356"/>
      <c r="H12" s="352" t="s">
        <v>293</v>
      </c>
    </row>
    <row r="14" spans="1:14">
      <c r="A14" s="338" t="s">
        <v>283</v>
      </c>
      <c r="B14" s="339">
        <v>2019</v>
      </c>
      <c r="C14" s="339">
        <v>2020</v>
      </c>
      <c r="D14" s="339">
        <v>2021</v>
      </c>
      <c r="E14" s="339">
        <v>2022</v>
      </c>
      <c r="F14" s="339">
        <v>2023</v>
      </c>
      <c r="G14" s="340">
        <v>2024</v>
      </c>
      <c r="H14" s="339">
        <v>2025</v>
      </c>
      <c r="I14" s="339">
        <v>2026</v>
      </c>
      <c r="J14" s="339">
        <v>2027</v>
      </c>
      <c r="K14" s="339">
        <v>2028</v>
      </c>
    </row>
    <row r="15" spans="1:14">
      <c r="A15" s="338" t="s">
        <v>285</v>
      </c>
      <c r="B15" s="339">
        <v>1</v>
      </c>
      <c r="C15" s="339">
        <v>2</v>
      </c>
      <c r="D15" s="339">
        <v>3</v>
      </c>
      <c r="E15" s="339">
        <v>4</v>
      </c>
      <c r="F15" s="339">
        <v>5</v>
      </c>
      <c r="G15" s="340">
        <v>6</v>
      </c>
      <c r="H15" s="339">
        <v>7</v>
      </c>
      <c r="I15" s="339">
        <v>8</v>
      </c>
      <c r="J15" s="339">
        <v>9</v>
      </c>
      <c r="K15" s="339">
        <v>10</v>
      </c>
      <c r="M15" s="343" t="s">
        <v>286</v>
      </c>
      <c r="N15" s="344">
        <f>NPV($N$1,B20:K20)</f>
        <v>10856297.804699158</v>
      </c>
    </row>
    <row r="16" spans="1:14">
      <c r="A16" s="338"/>
      <c r="B16" s="339"/>
      <c r="C16" s="339"/>
      <c r="D16" s="339"/>
      <c r="E16" s="339"/>
      <c r="F16" s="339"/>
      <c r="G16" s="340"/>
      <c r="H16" s="339"/>
      <c r="I16" s="339"/>
      <c r="J16" s="339"/>
      <c r="K16" s="339"/>
      <c r="M16" s="343" t="s">
        <v>189</v>
      </c>
      <c r="N16" s="345">
        <f>IRR(B20:K20)</f>
        <v>0.24633516347874296</v>
      </c>
    </row>
    <row r="17" spans="1:14">
      <c r="A17" s="338" t="s">
        <v>287</v>
      </c>
      <c r="B17" s="344">
        <v>0</v>
      </c>
      <c r="C17" s="344">
        <f>-'Indikatívny rozpočet'!BJ54/2</f>
        <v>-4005620</v>
      </c>
      <c r="D17" s="344">
        <f>-'Indikatívny rozpočet'!BJ54/2</f>
        <v>-4005620</v>
      </c>
      <c r="E17" s="344"/>
      <c r="F17" s="344"/>
      <c r="G17" s="346"/>
      <c r="H17" s="344"/>
      <c r="I17" s="344"/>
      <c r="J17" s="344"/>
      <c r="K17" s="344"/>
    </row>
    <row r="18" spans="1:14">
      <c r="A18" s="338" t="s">
        <v>288</v>
      </c>
      <c r="B18" s="344"/>
      <c r="C18" s="344">
        <f>0.13*$B$4</f>
        <v>-781882.4</v>
      </c>
      <c r="D18" s="344">
        <f t="shared" ref="D18:K18" si="6">0.13*$B$4</f>
        <v>-781882.4</v>
      </c>
      <c r="E18" s="344">
        <f t="shared" si="6"/>
        <v>-781882.4</v>
      </c>
      <c r="F18" s="344">
        <f t="shared" si="6"/>
        <v>-781882.4</v>
      </c>
      <c r="G18" s="346">
        <f t="shared" si="6"/>
        <v>-781882.4</v>
      </c>
      <c r="H18" s="344">
        <f t="shared" si="6"/>
        <v>-781882.4</v>
      </c>
      <c r="I18" s="344">
        <f t="shared" si="6"/>
        <v>-781882.4</v>
      </c>
      <c r="J18" s="344">
        <f t="shared" si="6"/>
        <v>-781882.4</v>
      </c>
      <c r="K18" s="344">
        <f t="shared" si="6"/>
        <v>-781882.4</v>
      </c>
    </row>
    <row r="19" spans="1:14">
      <c r="A19" s="338" t="s">
        <v>294</v>
      </c>
      <c r="B19" s="344">
        <f>'Prínosy - Agendové IS'!$I$4*B22</f>
        <v>0</v>
      </c>
      <c r="C19" s="344">
        <f>'Prínosy - Agendové IS'!$I$5*C22</f>
        <v>0</v>
      </c>
      <c r="D19" s="344">
        <f>'Prínosy - Agendové IS'!$I$6*D22</f>
        <v>671193.14368634811</v>
      </c>
      <c r="E19" s="344">
        <f>'Prínosy - Agendové IS'!$I$7*E22</f>
        <v>1986731.7053115882</v>
      </c>
      <c r="F19" s="344">
        <f>'Prínosy - Agendové IS'!$I$8*F22</f>
        <v>3209914.0903655891</v>
      </c>
      <c r="G19" s="346">
        <f>'Prínosy - Agendové IS'!$I$9*G22</f>
        <v>4926428.805574201</v>
      </c>
      <c r="H19" s="344">
        <f>'Prínosy - Agendové IS'!$I$10*H22</f>
        <v>4953150.0248379381</v>
      </c>
      <c r="I19" s="344">
        <f>'Prínosy - Agendové IS'!$I$11*I22</f>
        <v>5367407.2242809655</v>
      </c>
      <c r="J19" s="344">
        <f>'Prínosy - Agendové IS'!$I$12*J22</f>
        <v>5752846.4717375468</v>
      </c>
      <c r="K19" s="344">
        <f>'Prínosy - Agendové IS'!$I$13*K22</f>
        <v>4671926.2540960824</v>
      </c>
    </row>
    <row r="20" spans="1:14">
      <c r="A20" s="338" t="s">
        <v>289</v>
      </c>
      <c r="B20" s="344">
        <f t="shared" ref="B20:K20" si="7">SUM(B17:B19)</f>
        <v>0</v>
      </c>
      <c r="C20" s="344">
        <f t="shared" si="7"/>
        <v>-4787502.4000000004</v>
      </c>
      <c r="D20" s="344">
        <f t="shared" si="7"/>
        <v>-4116309.2563136523</v>
      </c>
      <c r="E20" s="344">
        <f t="shared" si="7"/>
        <v>1204849.3053115881</v>
      </c>
      <c r="F20" s="344">
        <f t="shared" si="7"/>
        <v>2428031.6903655892</v>
      </c>
      <c r="G20" s="346">
        <f t="shared" si="7"/>
        <v>4144546.4055742011</v>
      </c>
      <c r="H20" s="344">
        <f t="shared" si="7"/>
        <v>4171267.6248379382</v>
      </c>
      <c r="I20" s="344">
        <f t="shared" si="7"/>
        <v>4585524.8242809651</v>
      </c>
      <c r="J20" s="344">
        <f t="shared" si="7"/>
        <v>4970964.0717375465</v>
      </c>
      <c r="K20" s="344">
        <f t="shared" si="7"/>
        <v>3890043.8540960825</v>
      </c>
    </row>
    <row r="21" spans="1:14">
      <c r="A21" s="338"/>
      <c r="B21" s="344">
        <f t="shared" ref="B21:K21" si="8">1/(1+$N$1)^(B15-1)</f>
        <v>1</v>
      </c>
      <c r="C21" s="344">
        <f t="shared" si="8"/>
        <v>0.96153846153846145</v>
      </c>
      <c r="D21" s="344">
        <f t="shared" si="8"/>
        <v>0.92455621301775137</v>
      </c>
      <c r="E21" s="344">
        <f t="shared" si="8"/>
        <v>0.88899635867091487</v>
      </c>
      <c r="F21" s="344">
        <f t="shared" si="8"/>
        <v>0.85480419102972571</v>
      </c>
      <c r="G21" s="346">
        <f t="shared" si="8"/>
        <v>0.82192710675935154</v>
      </c>
      <c r="H21" s="344">
        <f t="shared" si="8"/>
        <v>0.79031452573014571</v>
      </c>
      <c r="I21" s="344">
        <f t="shared" si="8"/>
        <v>0.75991781320206331</v>
      </c>
      <c r="J21" s="344">
        <f t="shared" si="8"/>
        <v>0.73069020500198378</v>
      </c>
      <c r="K21" s="344">
        <f t="shared" si="8"/>
        <v>0.70258673557883045</v>
      </c>
    </row>
    <row r="22" spans="1:14">
      <c r="A22" s="338" t="s">
        <v>290</v>
      </c>
      <c r="B22" s="348"/>
      <c r="C22" s="348">
        <v>0</v>
      </c>
      <c r="D22" s="348">
        <f>6.74%+28%</f>
        <v>0.34740000000000004</v>
      </c>
      <c r="E22" s="348">
        <f t="shared" ref="E22:K22" si="9">6.74%+28%</f>
        <v>0.34740000000000004</v>
      </c>
      <c r="F22" s="348">
        <f t="shared" si="9"/>
        <v>0.34740000000000004</v>
      </c>
      <c r="G22" s="348">
        <f t="shared" si="9"/>
        <v>0.34740000000000004</v>
      </c>
      <c r="H22" s="348">
        <f t="shared" si="9"/>
        <v>0.34740000000000004</v>
      </c>
      <c r="I22" s="348">
        <f t="shared" si="9"/>
        <v>0.34740000000000004</v>
      </c>
      <c r="J22" s="348">
        <f t="shared" si="9"/>
        <v>0.34740000000000004</v>
      </c>
      <c r="K22" s="348">
        <f t="shared" si="9"/>
        <v>0.34740000000000004</v>
      </c>
    </row>
    <row r="23" spans="1:14">
      <c r="A23" s="349" t="s">
        <v>291</v>
      </c>
      <c r="B23" s="350">
        <f t="shared" ref="B23:K23" si="10">B20*B21</f>
        <v>0</v>
      </c>
      <c r="C23" s="350">
        <f t="shared" si="10"/>
        <v>-4603367.692307692</v>
      </c>
      <c r="D23" s="350">
        <f t="shared" si="10"/>
        <v>-3805759.297627267</v>
      </c>
      <c r="E23" s="350">
        <f t="shared" si="10"/>
        <v>1071106.6451691831</v>
      </c>
      <c r="F23" s="350">
        <f t="shared" si="10"/>
        <v>2075491.664877495</v>
      </c>
      <c r="G23" s="351">
        <f t="shared" si="10"/>
        <v>3406515.0359634729</v>
      </c>
      <c r="H23" s="350">
        <f t="shared" si="10"/>
        <v>3296613.3946173065</v>
      </c>
      <c r="I23" s="350">
        <f t="shared" si="10"/>
        <v>3484621.9968513665</v>
      </c>
      <c r="J23" s="350">
        <f t="shared" si="10"/>
        <v>3632234.7566354037</v>
      </c>
      <c r="K23" s="350">
        <f t="shared" si="10"/>
        <v>2733093.212707859</v>
      </c>
    </row>
    <row r="24" spans="1:14">
      <c r="A24" s="338" t="s">
        <v>292</v>
      </c>
      <c r="B24" s="344">
        <f>B23</f>
        <v>0</v>
      </c>
      <c r="C24" s="344">
        <f t="shared" ref="C24" si="11">C23+B24</f>
        <v>-4603367.692307692</v>
      </c>
      <c r="D24" s="344">
        <f t="shared" ref="D24" si="12">D23+C24</f>
        <v>-8409126.9899349585</v>
      </c>
      <c r="E24" s="344">
        <f t="shared" ref="E24" si="13">E23+D24</f>
        <v>-7338020.3447657749</v>
      </c>
      <c r="F24" s="344">
        <f t="shared" ref="F24" si="14">F23+E24</f>
        <v>-5262528.6798882801</v>
      </c>
      <c r="G24" s="346">
        <f t="shared" ref="G24" si="15">G23+F24</f>
        <v>-1856013.6439248072</v>
      </c>
      <c r="H24" s="344">
        <f t="shared" ref="H24" si="16">H23+G24</f>
        <v>1440599.7506924993</v>
      </c>
      <c r="I24" s="344">
        <f t="shared" ref="I24" si="17">I23+H24</f>
        <v>4925221.7475438658</v>
      </c>
      <c r="J24" s="344">
        <f t="shared" ref="J24" si="18">J23+I24</f>
        <v>8557456.5041792691</v>
      </c>
      <c r="K24" s="344">
        <f t="shared" ref="K24" si="19">K23+J24</f>
        <v>11290549.716887128</v>
      </c>
    </row>
    <row r="25" spans="1:14">
      <c r="G25" s="352" t="s">
        <v>293</v>
      </c>
    </row>
    <row r="27" spans="1:14">
      <c r="A27" s="338" t="s">
        <v>283</v>
      </c>
      <c r="B27" s="339">
        <v>2019</v>
      </c>
      <c r="C27" s="339">
        <v>2020</v>
      </c>
      <c r="D27" s="339">
        <v>2021</v>
      </c>
      <c r="E27" s="339">
        <v>2022</v>
      </c>
      <c r="F27" s="339">
        <v>2023</v>
      </c>
      <c r="G27" s="353">
        <v>2024</v>
      </c>
      <c r="H27" s="340">
        <v>2025</v>
      </c>
      <c r="I27" s="339">
        <v>2026</v>
      </c>
      <c r="J27" s="339">
        <v>2027</v>
      </c>
      <c r="K27" s="339">
        <v>2028</v>
      </c>
    </row>
    <row r="28" spans="1:14">
      <c r="A28" s="338" t="s">
        <v>285</v>
      </c>
      <c r="B28" s="339">
        <v>1</v>
      </c>
      <c r="C28" s="339">
        <v>2</v>
      </c>
      <c r="D28" s="339">
        <v>3</v>
      </c>
      <c r="E28" s="339">
        <v>4</v>
      </c>
      <c r="F28" s="339">
        <v>5</v>
      </c>
      <c r="G28" s="353">
        <v>6</v>
      </c>
      <c r="H28" s="340">
        <v>7</v>
      </c>
      <c r="I28" s="339">
        <v>8</v>
      </c>
      <c r="J28" s="339">
        <v>9</v>
      </c>
      <c r="K28" s="339">
        <v>10</v>
      </c>
      <c r="M28" s="343" t="s">
        <v>286</v>
      </c>
      <c r="N28" s="344">
        <f>NPV($N$1,B33:K33)</f>
        <v>17632816.982396193</v>
      </c>
    </row>
    <row r="29" spans="1:14">
      <c r="A29" s="338"/>
      <c r="B29" s="339"/>
      <c r="C29" s="339"/>
      <c r="D29" s="339"/>
      <c r="E29" s="339"/>
      <c r="F29" s="339"/>
      <c r="G29" s="353"/>
      <c r="H29" s="340"/>
      <c r="I29" s="339"/>
      <c r="J29" s="339"/>
      <c r="K29" s="339"/>
      <c r="M29" s="343" t="s">
        <v>189</v>
      </c>
      <c r="N29" s="345">
        <f>IRR(B33:K33)</f>
        <v>0.53604510037184339</v>
      </c>
    </row>
    <row r="30" spans="1:14">
      <c r="A30" s="338" t="s">
        <v>287</v>
      </c>
      <c r="B30" s="344">
        <v>0</v>
      </c>
      <c r="C30" s="344">
        <v>0</v>
      </c>
      <c r="D30" s="344">
        <f>-'Indikatívny rozpočet'!BK54/2</f>
        <v>-2933450</v>
      </c>
      <c r="E30" s="344">
        <f>-'Indikatívny rozpočet'!BK54/2</f>
        <v>-2933450</v>
      </c>
      <c r="F30" s="344"/>
      <c r="G30" s="354"/>
      <c r="H30" s="346"/>
      <c r="I30" s="344"/>
      <c r="J30" s="344"/>
      <c r="K30" s="344"/>
    </row>
    <row r="31" spans="1:14">
      <c r="A31" s="338" t="s">
        <v>288</v>
      </c>
      <c r="B31" s="344"/>
      <c r="C31" s="344">
        <f>0.13*$B$4</f>
        <v>-781882.4</v>
      </c>
      <c r="D31" s="344">
        <f t="shared" ref="D31:K31" si="20">0.13*$B$4</f>
        <v>-781882.4</v>
      </c>
      <c r="E31" s="344">
        <f t="shared" si="20"/>
        <v>-781882.4</v>
      </c>
      <c r="F31" s="344">
        <f t="shared" si="20"/>
        <v>-781882.4</v>
      </c>
      <c r="G31" s="354">
        <f t="shared" si="20"/>
        <v>-781882.4</v>
      </c>
      <c r="H31" s="346">
        <f t="shared" si="20"/>
        <v>-781882.4</v>
      </c>
      <c r="I31" s="344">
        <f t="shared" si="20"/>
        <v>-781882.4</v>
      </c>
      <c r="J31" s="344">
        <f t="shared" si="20"/>
        <v>-781882.4</v>
      </c>
      <c r="K31" s="344">
        <f t="shared" si="20"/>
        <v>-781882.4</v>
      </c>
    </row>
    <row r="32" spans="1:14">
      <c r="A32" s="338" t="s">
        <v>294</v>
      </c>
      <c r="B32" s="344">
        <f>'Prínosy - Agendové IS'!$I$4*B35</f>
        <v>0</v>
      </c>
      <c r="C32" s="344">
        <f>'Prínosy - Agendové IS'!$I$5*C35</f>
        <v>0</v>
      </c>
      <c r="D32" s="344">
        <f>'Prínosy - Agendové IS'!$I$6*D35</f>
        <v>802185.93338679231</v>
      </c>
      <c r="E32" s="344">
        <f>'Prínosy - Agendové IS'!$I$7*E35</f>
        <v>2374470.3628249029</v>
      </c>
      <c r="F32" s="344">
        <f>'Prínosy - Agendové IS'!$I$8*F35</f>
        <v>3836374.0078289933</v>
      </c>
      <c r="G32" s="354">
        <f>'Prínosy - Agendové IS'!$I$9*G35</f>
        <v>5887890.7313598385</v>
      </c>
      <c r="H32" s="346">
        <f>'Prínosy - Agendové IS'!$I$10*H35</f>
        <v>5919826.9726905916</v>
      </c>
      <c r="I32" s="344">
        <f>'Prínosy - Agendové IS'!$I$11*I35</f>
        <v>6414932.2956864033</v>
      </c>
      <c r="J32" s="344">
        <f>'Prínosy - Agendové IS'!$I$12*J35</f>
        <v>6875595.4377243202</v>
      </c>
      <c r="K32" s="344">
        <f>'Prínosy - Agendové IS'!$I$13*K35</f>
        <v>5583718.4245846085</v>
      </c>
    </row>
    <row r="33" spans="1:11">
      <c r="A33" s="338" t="s">
        <v>289</v>
      </c>
      <c r="B33" s="344">
        <f t="shared" ref="B33:K33" si="21">SUM(B30:B32)</f>
        <v>0</v>
      </c>
      <c r="C33" s="344">
        <f t="shared" si="21"/>
        <v>-781882.4</v>
      </c>
      <c r="D33" s="344">
        <f t="shared" si="21"/>
        <v>-2913146.4666132075</v>
      </c>
      <c r="E33" s="344">
        <f t="shared" si="21"/>
        <v>-1340862.037175097</v>
      </c>
      <c r="F33" s="344">
        <f t="shared" si="21"/>
        <v>3054491.6078289934</v>
      </c>
      <c r="G33" s="354">
        <f t="shared" si="21"/>
        <v>5106008.3313598381</v>
      </c>
      <c r="H33" s="346">
        <f t="shared" si="21"/>
        <v>5137944.5726905912</v>
      </c>
      <c r="I33" s="344">
        <f t="shared" si="21"/>
        <v>5633049.8956864029</v>
      </c>
      <c r="J33" s="344">
        <f t="shared" si="21"/>
        <v>6093713.0377243198</v>
      </c>
      <c r="K33" s="344">
        <f t="shared" si="21"/>
        <v>4801836.0245846082</v>
      </c>
    </row>
    <row r="34" spans="1:11">
      <c r="A34" s="338"/>
      <c r="B34" s="344">
        <f t="shared" ref="B34:K34" si="22">1/(1+$N$1)^(B28-1)</f>
        <v>1</v>
      </c>
      <c r="C34" s="344">
        <f t="shared" si="22"/>
        <v>0.96153846153846145</v>
      </c>
      <c r="D34" s="344">
        <f t="shared" si="22"/>
        <v>0.92455621301775137</v>
      </c>
      <c r="E34" s="344">
        <f t="shared" si="22"/>
        <v>0.88899635867091487</v>
      </c>
      <c r="F34" s="344">
        <f t="shared" si="22"/>
        <v>0.85480419102972571</v>
      </c>
      <c r="G34" s="354">
        <f t="shared" si="22"/>
        <v>0.82192710675935154</v>
      </c>
      <c r="H34" s="346">
        <f t="shared" si="22"/>
        <v>0.79031452573014571</v>
      </c>
      <c r="I34" s="344">
        <f t="shared" si="22"/>
        <v>0.75991781320206331</v>
      </c>
      <c r="J34" s="344">
        <f t="shared" si="22"/>
        <v>0.73069020500198378</v>
      </c>
      <c r="K34" s="344">
        <f t="shared" si="22"/>
        <v>0.70258673557883045</v>
      </c>
    </row>
    <row r="35" spans="1:11">
      <c r="A35" s="338" t="s">
        <v>290</v>
      </c>
      <c r="B35" s="348"/>
      <c r="C35" s="348">
        <v>0</v>
      </c>
      <c r="D35" s="348">
        <f>100%-D22-D9</f>
        <v>0.41519999999999996</v>
      </c>
      <c r="E35" s="348">
        <f t="shared" ref="E35:K35" si="23">100%-E22-E9</f>
        <v>0.41519999999999996</v>
      </c>
      <c r="F35" s="348">
        <f t="shared" si="23"/>
        <v>0.41519999999999996</v>
      </c>
      <c r="G35" s="348">
        <f t="shared" si="23"/>
        <v>0.41519999999999996</v>
      </c>
      <c r="H35" s="348">
        <f t="shared" si="23"/>
        <v>0.41519999999999996</v>
      </c>
      <c r="I35" s="348">
        <f t="shared" si="23"/>
        <v>0.41519999999999996</v>
      </c>
      <c r="J35" s="348">
        <f t="shared" si="23"/>
        <v>0.41519999999999996</v>
      </c>
      <c r="K35" s="348">
        <f t="shared" si="23"/>
        <v>0.41519999999999996</v>
      </c>
    </row>
    <row r="36" spans="1:11">
      <c r="A36" s="349" t="s">
        <v>291</v>
      </c>
      <c r="B36" s="350">
        <f t="shared" ref="B36:K36" si="24">B33*B34</f>
        <v>0</v>
      </c>
      <c r="C36" s="350">
        <f t="shared" si="24"/>
        <v>-751810</v>
      </c>
      <c r="D36" s="350">
        <f t="shared" si="24"/>
        <v>-2693367.6651379503</v>
      </c>
      <c r="E36" s="350">
        <f t="shared" si="24"/>
        <v>-1192021.4685287261</v>
      </c>
      <c r="F36" s="350">
        <f t="shared" si="24"/>
        <v>2610992.2278373488</v>
      </c>
      <c r="G36" s="355">
        <f t="shared" si="24"/>
        <v>4196766.6548837358</v>
      </c>
      <c r="H36" s="351">
        <f t="shared" si="24"/>
        <v>4060592.2281937408</v>
      </c>
      <c r="I36" s="350">
        <f t="shared" si="24"/>
        <v>4280654.9583881218</v>
      </c>
      <c r="J36" s="350">
        <f t="shared" si="24"/>
        <v>4452616.4287580447</v>
      </c>
      <c r="K36" s="350">
        <f t="shared" si="24"/>
        <v>3373706.2972977282</v>
      </c>
    </row>
    <row r="37" spans="1:11">
      <c r="A37" s="338" t="s">
        <v>292</v>
      </c>
      <c r="B37" s="344">
        <f>B36</f>
        <v>0</v>
      </c>
      <c r="C37" s="344">
        <f t="shared" ref="C37" si="25">C36+B37</f>
        <v>-751810</v>
      </c>
      <c r="D37" s="344">
        <f t="shared" ref="D37" si="26">D36+C37</f>
        <v>-3445177.6651379503</v>
      </c>
      <c r="E37" s="344">
        <f t="shared" ref="E37" si="27">E36+D37</f>
        <v>-4637199.1336666765</v>
      </c>
      <c r="F37" s="344">
        <f t="shared" ref="F37" si="28">F36+E37</f>
        <v>-2026206.9058293276</v>
      </c>
      <c r="G37" s="354">
        <f t="shared" ref="G37" si="29">G36+F37</f>
        <v>2170559.7490544082</v>
      </c>
      <c r="H37" s="346">
        <f t="shared" ref="H37" si="30">H36+G37</f>
        <v>6231151.977248149</v>
      </c>
      <c r="I37" s="344">
        <f t="shared" ref="I37" si="31">I36+H37</f>
        <v>10511806.935636271</v>
      </c>
      <c r="J37" s="344">
        <f t="shared" ref="J37" si="32">J36+I37</f>
        <v>14964423.364394315</v>
      </c>
      <c r="K37" s="344">
        <f t="shared" ref="K37" si="33">K36+J37</f>
        <v>18338129.661692042</v>
      </c>
    </row>
    <row r="38" spans="1:11">
      <c r="G38" s="356"/>
      <c r="H38" s="352" t="s">
        <v>293</v>
      </c>
    </row>
    <row r="39" spans="1:11">
      <c r="G39" s="356"/>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zoomScale="107" zoomScaleNormal="120" zoomScalePageLayoutView="120" workbookViewId="0">
      <selection activeCell="BI54" sqref="BI54"/>
    </sheetView>
  </sheetViews>
  <sheetFormatPr defaultColWidth="11.42578125" defaultRowHeight="15"/>
  <cols>
    <col min="1" max="1" width="58.85546875" customWidth="1"/>
    <col min="2" max="2" width="13" customWidth="1"/>
    <col min="3" max="3" width="3.140625" customWidth="1"/>
    <col min="4" max="26" width="3.7109375" customWidth="1"/>
    <col min="27" max="27" width="3.140625" customWidth="1"/>
    <col min="28" max="50" width="3.7109375" customWidth="1"/>
    <col min="51" max="62" width="8" customWidth="1"/>
    <col min="63" max="63" width="8.7109375" customWidth="1"/>
  </cols>
  <sheetData>
    <row r="1" spans="1:63" ht="15.75" thickBot="1">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row>
    <row r="2" spans="1:63" ht="48">
      <c r="A2" s="276" t="s">
        <v>195</v>
      </c>
      <c r="B2" s="277" t="s">
        <v>1</v>
      </c>
      <c r="C2" s="278" t="s">
        <v>196</v>
      </c>
      <c r="D2" s="277" t="s">
        <v>197</v>
      </c>
      <c r="E2" s="277" t="s">
        <v>198</v>
      </c>
      <c r="F2" s="277" t="s">
        <v>199</v>
      </c>
      <c r="G2" s="277" t="s">
        <v>200</v>
      </c>
      <c r="H2" s="277" t="s">
        <v>201</v>
      </c>
      <c r="I2" s="277" t="s">
        <v>202</v>
      </c>
      <c r="J2" s="277" t="s">
        <v>203</v>
      </c>
      <c r="K2" s="277" t="s">
        <v>204</v>
      </c>
      <c r="L2" s="277" t="s">
        <v>205</v>
      </c>
      <c r="M2" s="277" t="s">
        <v>206</v>
      </c>
      <c r="N2" s="279" t="s">
        <v>207</v>
      </c>
      <c r="O2" s="277" t="s">
        <v>208</v>
      </c>
      <c r="P2" s="277" t="s">
        <v>209</v>
      </c>
      <c r="Q2" s="277" t="s">
        <v>210</v>
      </c>
      <c r="R2" s="277" t="s">
        <v>211</v>
      </c>
      <c r="S2" s="277" t="s">
        <v>212</v>
      </c>
      <c r="T2" s="277" t="s">
        <v>213</v>
      </c>
      <c r="U2" s="277" t="s">
        <v>214</v>
      </c>
      <c r="V2" s="277" t="s">
        <v>215</v>
      </c>
      <c r="W2" s="277" t="s">
        <v>216</v>
      </c>
      <c r="X2" s="277" t="s">
        <v>217</v>
      </c>
      <c r="Y2" s="277" t="s">
        <v>258</v>
      </c>
      <c r="Z2" s="279" t="s">
        <v>218</v>
      </c>
      <c r="AA2" s="278" t="s">
        <v>259</v>
      </c>
      <c r="AB2" s="277" t="s">
        <v>260</v>
      </c>
      <c r="AC2" s="277" t="s">
        <v>261</v>
      </c>
      <c r="AD2" s="277" t="s">
        <v>262</v>
      </c>
      <c r="AE2" s="277" t="s">
        <v>263</v>
      </c>
      <c r="AF2" s="277" t="s">
        <v>264</v>
      </c>
      <c r="AG2" s="277" t="s">
        <v>265</v>
      </c>
      <c r="AH2" s="277" t="s">
        <v>266</v>
      </c>
      <c r="AI2" s="277" t="s">
        <v>267</v>
      </c>
      <c r="AJ2" s="277" t="s">
        <v>268</v>
      </c>
      <c r="AK2" s="277" t="s">
        <v>269</v>
      </c>
      <c r="AL2" s="279" t="s">
        <v>270</v>
      </c>
      <c r="AM2" s="277" t="s">
        <v>271</v>
      </c>
      <c r="AN2" s="277" t="s">
        <v>272</v>
      </c>
      <c r="AO2" s="277" t="s">
        <v>273</v>
      </c>
      <c r="AP2" s="277" t="s">
        <v>274</v>
      </c>
      <c r="AQ2" s="277" t="s">
        <v>275</v>
      </c>
      <c r="AR2" s="277" t="s">
        <v>276</v>
      </c>
      <c r="AS2" s="277" t="s">
        <v>277</v>
      </c>
      <c r="AT2" s="277" t="s">
        <v>278</v>
      </c>
      <c r="AU2" s="277" t="s">
        <v>279</v>
      </c>
      <c r="AV2" s="277" t="s">
        <v>280</v>
      </c>
      <c r="AW2" s="277" t="s">
        <v>281</v>
      </c>
      <c r="AX2" s="279" t="s">
        <v>282</v>
      </c>
      <c r="AY2" s="280" t="s">
        <v>219</v>
      </c>
      <c r="AZ2" s="281" t="s">
        <v>237</v>
      </c>
      <c r="BA2" s="281" t="s">
        <v>238</v>
      </c>
      <c r="BB2" s="281" t="s">
        <v>239</v>
      </c>
      <c r="BC2" s="281" t="s">
        <v>220</v>
      </c>
      <c r="BD2" s="281" t="s">
        <v>240</v>
      </c>
      <c r="BE2" s="281" t="s">
        <v>252</v>
      </c>
      <c r="BF2" s="281" t="s">
        <v>254</v>
      </c>
      <c r="BG2" s="281" t="s">
        <v>253</v>
      </c>
      <c r="BH2" s="281" t="s">
        <v>221</v>
      </c>
      <c r="BI2" s="281" t="s">
        <v>243</v>
      </c>
      <c r="BJ2" s="281" t="s">
        <v>242</v>
      </c>
      <c r="BK2" s="282" t="s">
        <v>241</v>
      </c>
    </row>
    <row r="3" spans="1:63">
      <c r="A3" s="283"/>
      <c r="B3" s="284"/>
      <c r="C3" s="285"/>
      <c r="D3" s="284"/>
      <c r="E3" s="284"/>
      <c r="F3" s="284"/>
      <c r="G3" s="284"/>
      <c r="H3" s="284"/>
      <c r="I3" s="284"/>
      <c r="J3" s="284"/>
      <c r="K3" s="284"/>
      <c r="L3" s="284"/>
      <c r="M3" s="284"/>
      <c r="N3" s="286"/>
      <c r="O3" s="284"/>
      <c r="P3" s="284"/>
      <c r="Q3" s="284"/>
      <c r="R3" s="284"/>
      <c r="S3" s="284"/>
      <c r="T3" s="284"/>
      <c r="U3" s="284"/>
      <c r="V3" s="284"/>
      <c r="W3" s="284"/>
      <c r="X3" s="284"/>
      <c r="Y3" s="284"/>
      <c r="Z3" s="286"/>
      <c r="AA3" s="285"/>
      <c r="AB3" s="284"/>
      <c r="AC3" s="284"/>
      <c r="AD3" s="284"/>
      <c r="AE3" s="284"/>
      <c r="AF3" s="284"/>
      <c r="AG3" s="284"/>
      <c r="AH3" s="284"/>
      <c r="AI3" s="284"/>
      <c r="AJ3" s="284"/>
      <c r="AK3" s="284"/>
      <c r="AL3" s="286"/>
      <c r="AM3" s="284"/>
      <c r="AN3" s="284"/>
      <c r="AO3" s="284"/>
      <c r="AP3" s="284"/>
      <c r="AQ3" s="284"/>
      <c r="AR3" s="284"/>
      <c r="AS3" s="284"/>
      <c r="AT3" s="284"/>
      <c r="AU3" s="284"/>
      <c r="AV3" s="284"/>
      <c r="AW3" s="284"/>
      <c r="AX3" s="286"/>
      <c r="AY3" s="287"/>
      <c r="AZ3" s="288"/>
      <c r="BA3" s="288"/>
      <c r="BB3" s="288"/>
      <c r="BC3" s="288"/>
      <c r="BD3" s="288"/>
      <c r="BE3" s="288"/>
      <c r="BF3" s="288"/>
      <c r="BG3" s="288"/>
      <c r="BH3" s="288"/>
      <c r="BI3" s="288"/>
      <c r="BJ3" s="288"/>
      <c r="BK3" s="289"/>
    </row>
    <row r="4" spans="1:63">
      <c r="A4" s="327" t="s">
        <v>250</v>
      </c>
      <c r="B4" s="291"/>
      <c r="C4" s="292"/>
      <c r="D4" s="291"/>
      <c r="E4" s="291"/>
      <c r="F4" s="291"/>
      <c r="G4" s="291"/>
      <c r="H4" s="291"/>
      <c r="I4" s="291"/>
      <c r="J4" s="291"/>
      <c r="K4" s="291"/>
      <c r="L4" s="291"/>
      <c r="M4" s="291"/>
      <c r="N4" s="293"/>
      <c r="O4" s="291"/>
      <c r="P4" s="291"/>
      <c r="Q4" s="291"/>
      <c r="R4" s="291"/>
      <c r="S4" s="291"/>
      <c r="T4" s="291"/>
      <c r="U4" s="291"/>
      <c r="V4" s="291"/>
      <c r="W4" s="291"/>
      <c r="X4" s="291"/>
      <c r="Y4" s="291"/>
      <c r="Z4" s="293"/>
      <c r="AA4" s="292"/>
      <c r="AB4" s="291"/>
      <c r="AC4" s="291"/>
      <c r="AD4" s="291"/>
      <c r="AE4" s="291"/>
      <c r="AF4" s="291"/>
      <c r="AG4" s="291"/>
      <c r="AH4" s="291"/>
      <c r="AI4" s="291"/>
      <c r="AJ4" s="291"/>
      <c r="AK4" s="291"/>
      <c r="AL4" s="293"/>
      <c r="AM4" s="291"/>
      <c r="AN4" s="291"/>
      <c r="AO4" s="291"/>
      <c r="AP4" s="291"/>
      <c r="AQ4" s="291"/>
      <c r="AR4" s="291"/>
      <c r="AS4" s="291"/>
      <c r="AT4" s="291"/>
      <c r="AU4" s="291"/>
      <c r="AV4" s="291"/>
      <c r="AW4" s="291"/>
      <c r="AX4" s="293"/>
      <c r="AY4" s="294"/>
      <c r="AZ4" s="332"/>
      <c r="BA4" s="335"/>
      <c r="BB4" s="329"/>
      <c r="BC4" s="295"/>
      <c r="BD4" s="332"/>
      <c r="BE4" s="335"/>
      <c r="BF4" s="329"/>
      <c r="BG4" s="295"/>
      <c r="BH4" s="295"/>
      <c r="BI4" s="332"/>
      <c r="BJ4" s="335"/>
      <c r="BK4" s="296">
        <f t="shared" ref="BK4:BK19" si="0">BB4*BF4*$BG4</f>
        <v>0</v>
      </c>
    </row>
    <row r="5" spans="1:63">
      <c r="A5" s="297" t="s">
        <v>226</v>
      </c>
      <c r="B5" s="291"/>
      <c r="C5" s="298"/>
      <c r="D5" s="299"/>
      <c r="E5" s="299"/>
      <c r="F5" s="299"/>
      <c r="G5" s="300"/>
      <c r="H5" s="291"/>
      <c r="I5" s="291"/>
      <c r="J5" s="291"/>
      <c r="K5" s="291"/>
      <c r="L5" s="291"/>
      <c r="M5" s="291"/>
      <c r="N5" s="293"/>
      <c r="O5" s="291"/>
      <c r="P5" s="291"/>
      <c r="Q5" s="291"/>
      <c r="R5" s="291"/>
      <c r="S5" s="291"/>
      <c r="T5" s="291"/>
      <c r="U5" s="291"/>
      <c r="V5" s="291"/>
      <c r="W5" s="291"/>
      <c r="X5" s="291"/>
      <c r="Y5" s="291"/>
      <c r="Z5" s="293"/>
      <c r="AA5" s="292"/>
      <c r="AB5" s="291"/>
      <c r="AC5" s="291"/>
      <c r="AD5" s="291"/>
      <c r="AE5" s="291"/>
      <c r="AF5" s="291"/>
      <c r="AG5" s="291"/>
      <c r="AH5" s="291"/>
      <c r="AI5" s="291"/>
      <c r="AJ5" s="291"/>
      <c r="AK5" s="291"/>
      <c r="AL5" s="293"/>
      <c r="AM5" s="291"/>
      <c r="AN5" s="291"/>
      <c r="AO5" s="291"/>
      <c r="AP5" s="291"/>
      <c r="AQ5" s="291"/>
      <c r="AR5" s="291"/>
      <c r="AS5" s="291"/>
      <c r="AT5" s="291"/>
      <c r="AU5" s="291"/>
      <c r="AV5" s="291"/>
      <c r="AW5" s="291"/>
      <c r="AX5" s="291"/>
      <c r="AY5" s="294"/>
      <c r="AZ5" s="332">
        <v>80</v>
      </c>
      <c r="BA5" s="335"/>
      <c r="BB5" s="329"/>
      <c r="BC5" s="295"/>
      <c r="BD5" s="332">
        <v>3</v>
      </c>
      <c r="BE5" s="335"/>
      <c r="BF5" s="329"/>
      <c r="BG5" s="295">
        <v>825</v>
      </c>
      <c r="BH5" s="295"/>
      <c r="BI5" s="332">
        <f>AZ5*BD5*$BG5</f>
        <v>198000</v>
      </c>
      <c r="BJ5" s="335">
        <f>BA5*BE5*$BG5</f>
        <v>0</v>
      </c>
      <c r="BK5" s="296">
        <f t="shared" si="0"/>
        <v>0</v>
      </c>
    </row>
    <row r="6" spans="1:63">
      <c r="A6" s="297" t="s">
        <v>244</v>
      </c>
      <c r="B6" s="291"/>
      <c r="C6" s="292"/>
      <c r="D6" s="299"/>
      <c r="E6" s="299"/>
      <c r="F6" s="299"/>
      <c r="G6" s="299"/>
      <c r="H6" s="291"/>
      <c r="I6" s="291"/>
      <c r="J6" s="291"/>
      <c r="K6" s="291"/>
      <c r="L6" s="291"/>
      <c r="M6" s="291"/>
      <c r="N6" s="293"/>
      <c r="O6" s="291"/>
      <c r="P6" s="291"/>
      <c r="Q6" s="291"/>
      <c r="R6" s="291"/>
      <c r="S6" s="291"/>
      <c r="T6" s="291"/>
      <c r="U6" s="291"/>
      <c r="V6" s="291"/>
      <c r="W6" s="291"/>
      <c r="X6" s="291"/>
      <c r="Y6" s="291"/>
      <c r="Z6" s="293"/>
      <c r="AA6" s="292"/>
      <c r="AB6" s="291"/>
      <c r="AC6" s="291"/>
      <c r="AD6" s="291"/>
      <c r="AE6" s="291"/>
      <c r="AF6" s="291"/>
      <c r="AG6" s="291"/>
      <c r="AH6" s="291"/>
      <c r="AI6" s="291"/>
      <c r="AJ6" s="291"/>
      <c r="AK6" s="291"/>
      <c r="AL6" s="291"/>
      <c r="AM6" s="292"/>
      <c r="AN6" s="291"/>
      <c r="AO6" s="291"/>
      <c r="AP6" s="291"/>
      <c r="AQ6" s="291"/>
      <c r="AR6" s="291"/>
      <c r="AS6" s="291"/>
      <c r="AT6" s="291"/>
      <c r="AU6" s="291"/>
      <c r="AV6" s="291"/>
      <c r="AW6" s="291"/>
      <c r="AX6" s="291"/>
      <c r="AY6" s="294"/>
      <c r="AZ6" s="332">
        <v>80</v>
      </c>
      <c r="BA6" s="335"/>
      <c r="BB6" s="329"/>
      <c r="BC6" s="295"/>
      <c r="BD6" s="332">
        <v>2</v>
      </c>
      <c r="BE6" s="335"/>
      <c r="BF6" s="329"/>
      <c r="BG6" s="295">
        <v>825</v>
      </c>
      <c r="BH6" s="295"/>
      <c r="BI6" s="332">
        <f t="shared" ref="BI6:BI53" si="1">AZ6*BD6*$BG6</f>
        <v>132000</v>
      </c>
      <c r="BJ6" s="335">
        <f t="shared" ref="BJ6:BJ53" si="2">BA6*BE6*$BG6</f>
        <v>0</v>
      </c>
      <c r="BK6" s="296">
        <f t="shared" si="0"/>
        <v>0</v>
      </c>
    </row>
    <row r="7" spans="1:63">
      <c r="A7" s="301" t="s">
        <v>223</v>
      </c>
      <c r="B7" s="291"/>
      <c r="C7" s="292"/>
      <c r="D7" s="291"/>
      <c r="E7" s="302"/>
      <c r="F7" s="302"/>
      <c r="G7" s="302"/>
      <c r="H7" s="302"/>
      <c r="I7" s="302"/>
      <c r="J7" s="302"/>
      <c r="K7" s="302"/>
      <c r="L7" s="302"/>
      <c r="M7" s="291"/>
      <c r="N7" s="293"/>
      <c r="O7" s="291"/>
      <c r="P7" s="291"/>
      <c r="Q7" s="291"/>
      <c r="R7" s="291"/>
      <c r="S7" s="291"/>
      <c r="T7" s="291"/>
      <c r="U7" s="291"/>
      <c r="V7" s="291"/>
      <c r="W7" s="291"/>
      <c r="X7" s="291"/>
      <c r="Y7" s="291"/>
      <c r="Z7" s="291"/>
      <c r="AA7" s="292"/>
      <c r="AB7" s="291"/>
      <c r="AC7" s="291"/>
      <c r="AD7" s="291"/>
      <c r="AE7" s="291"/>
      <c r="AF7" s="291"/>
      <c r="AG7" s="291"/>
      <c r="AH7" s="291"/>
      <c r="AI7" s="291"/>
      <c r="AJ7" s="291"/>
      <c r="AK7" s="291"/>
      <c r="AL7" s="291"/>
      <c r="AM7" s="292"/>
      <c r="AN7" s="291"/>
      <c r="AO7" s="291"/>
      <c r="AP7" s="291"/>
      <c r="AQ7" s="291"/>
      <c r="AR7" s="291"/>
      <c r="AS7" s="291"/>
      <c r="AT7" s="291"/>
      <c r="AU7" s="291"/>
      <c r="AV7" s="291"/>
      <c r="AW7" s="291"/>
      <c r="AX7" s="291"/>
      <c r="AY7" s="294"/>
      <c r="AZ7" s="332">
        <v>160</v>
      </c>
      <c r="BA7" s="335"/>
      <c r="BB7" s="329"/>
      <c r="BC7" s="295"/>
      <c r="BD7" s="332">
        <v>6</v>
      </c>
      <c r="BE7" s="335"/>
      <c r="BF7" s="329"/>
      <c r="BG7" s="295">
        <v>714</v>
      </c>
      <c r="BH7" s="295"/>
      <c r="BI7" s="332">
        <f t="shared" si="1"/>
        <v>685440</v>
      </c>
      <c r="BJ7" s="335">
        <f t="shared" si="2"/>
        <v>0</v>
      </c>
      <c r="BK7" s="296">
        <f t="shared" si="0"/>
        <v>0</v>
      </c>
    </row>
    <row r="8" spans="1:63">
      <c r="A8" s="303" t="s">
        <v>224</v>
      </c>
      <c r="B8" s="291"/>
      <c r="C8" s="292"/>
      <c r="D8" s="291"/>
      <c r="E8" s="291"/>
      <c r="F8" s="291"/>
      <c r="G8" s="291"/>
      <c r="H8" s="291"/>
      <c r="I8" s="291"/>
      <c r="J8" s="291"/>
      <c r="K8" s="304"/>
      <c r="L8" s="304"/>
      <c r="M8" s="304"/>
      <c r="N8" s="305"/>
      <c r="O8" s="291"/>
      <c r="P8" s="291"/>
      <c r="Q8" s="291"/>
      <c r="R8" s="291"/>
      <c r="S8" s="291"/>
      <c r="T8" s="291"/>
      <c r="U8" s="291"/>
      <c r="V8" s="291"/>
      <c r="W8" s="291"/>
      <c r="X8" s="291"/>
      <c r="Y8" s="291"/>
      <c r="Z8" s="291"/>
      <c r="AA8" s="292"/>
      <c r="AB8" s="291"/>
      <c r="AC8" s="291"/>
      <c r="AD8" s="291"/>
      <c r="AE8" s="291"/>
      <c r="AF8" s="291"/>
      <c r="AG8" s="291"/>
      <c r="AH8" s="291"/>
      <c r="AI8" s="291"/>
      <c r="AJ8" s="291"/>
      <c r="AK8" s="291"/>
      <c r="AL8" s="291"/>
      <c r="AM8" s="292"/>
      <c r="AN8" s="291"/>
      <c r="AO8" s="291"/>
      <c r="AP8" s="291"/>
      <c r="AQ8" s="291"/>
      <c r="AR8" s="291"/>
      <c r="AS8" s="291"/>
      <c r="AT8" s="291"/>
      <c r="AU8" s="291"/>
      <c r="AV8" s="291"/>
      <c r="AW8" s="291"/>
      <c r="AX8" s="291"/>
      <c r="AY8" s="294"/>
      <c r="AZ8" s="332">
        <v>80</v>
      </c>
      <c r="BA8" s="335"/>
      <c r="BB8" s="329"/>
      <c r="BC8" s="295"/>
      <c r="BD8" s="332">
        <v>2</v>
      </c>
      <c r="BE8" s="335"/>
      <c r="BF8" s="329"/>
      <c r="BG8" s="295">
        <v>650</v>
      </c>
      <c r="BH8" s="295"/>
      <c r="BI8" s="332">
        <f t="shared" si="1"/>
        <v>104000</v>
      </c>
      <c r="BJ8" s="335">
        <f t="shared" si="2"/>
        <v>0</v>
      </c>
      <c r="BK8" s="296">
        <f t="shared" si="0"/>
        <v>0</v>
      </c>
    </row>
    <row r="9" spans="1:63">
      <c r="A9" s="306" t="s">
        <v>225</v>
      </c>
      <c r="B9" s="291"/>
      <c r="C9" s="292"/>
      <c r="D9" s="291"/>
      <c r="E9" s="291"/>
      <c r="F9" s="291"/>
      <c r="G9" s="291"/>
      <c r="H9" s="291"/>
      <c r="I9" s="291"/>
      <c r="J9" s="291"/>
      <c r="K9" s="291"/>
      <c r="L9" s="291"/>
      <c r="M9" s="307"/>
      <c r="N9" s="308"/>
      <c r="O9" s="291"/>
      <c r="P9" s="291"/>
      <c r="Q9" s="291"/>
      <c r="R9" s="291"/>
      <c r="S9" s="291"/>
      <c r="T9" s="291"/>
      <c r="U9" s="291"/>
      <c r="V9" s="291"/>
      <c r="W9" s="291"/>
      <c r="X9" s="291"/>
      <c r="Y9" s="291"/>
      <c r="Z9" s="291"/>
      <c r="AA9" s="292"/>
      <c r="AB9" s="291"/>
      <c r="AC9" s="291"/>
      <c r="AD9" s="291"/>
      <c r="AE9" s="291"/>
      <c r="AF9" s="291"/>
      <c r="AG9" s="291"/>
      <c r="AH9" s="291"/>
      <c r="AI9" s="291"/>
      <c r="AJ9" s="291"/>
      <c r="AK9" s="291"/>
      <c r="AL9" s="291"/>
      <c r="AM9" s="292"/>
      <c r="AN9" s="291"/>
      <c r="AO9" s="291"/>
      <c r="AP9" s="291"/>
      <c r="AQ9" s="291"/>
      <c r="AR9" s="291"/>
      <c r="AS9" s="291"/>
      <c r="AT9" s="291"/>
      <c r="AU9" s="291"/>
      <c r="AV9" s="291"/>
      <c r="AW9" s="291"/>
      <c r="AX9" s="291"/>
      <c r="AY9" s="294"/>
      <c r="AZ9" s="332">
        <v>40</v>
      </c>
      <c r="BA9" s="335"/>
      <c r="BB9" s="329"/>
      <c r="BC9" s="295"/>
      <c r="BD9" s="332">
        <v>2</v>
      </c>
      <c r="BE9" s="335"/>
      <c r="BF9" s="329"/>
      <c r="BG9" s="295">
        <v>650</v>
      </c>
      <c r="BH9" s="295"/>
      <c r="BI9" s="332">
        <f t="shared" si="1"/>
        <v>52000</v>
      </c>
      <c r="BJ9" s="335">
        <f t="shared" si="2"/>
        <v>0</v>
      </c>
      <c r="BK9" s="296">
        <f t="shared" si="0"/>
        <v>0</v>
      </c>
    </row>
    <row r="10" spans="1:63">
      <c r="A10" s="327" t="s">
        <v>251</v>
      </c>
      <c r="B10" s="291"/>
      <c r="C10" s="292"/>
      <c r="D10" s="291"/>
      <c r="E10" s="291"/>
      <c r="F10" s="291"/>
      <c r="G10" s="291"/>
      <c r="H10" s="291"/>
      <c r="I10" s="291"/>
      <c r="J10" s="291"/>
      <c r="K10" s="291"/>
      <c r="L10" s="291"/>
      <c r="M10" s="291"/>
      <c r="N10" s="293"/>
      <c r="O10" s="291"/>
      <c r="P10" s="291"/>
      <c r="Q10" s="291"/>
      <c r="R10" s="291"/>
      <c r="S10" s="291"/>
      <c r="T10" s="291"/>
      <c r="U10" s="291"/>
      <c r="V10" s="291"/>
      <c r="W10" s="291"/>
      <c r="X10" s="291"/>
      <c r="Y10" s="291"/>
      <c r="Z10" s="291"/>
      <c r="AA10" s="292"/>
      <c r="AB10" s="291"/>
      <c r="AC10" s="291"/>
      <c r="AD10" s="291"/>
      <c r="AE10" s="291"/>
      <c r="AF10" s="291"/>
      <c r="AG10" s="291"/>
      <c r="AH10" s="291"/>
      <c r="AI10" s="291"/>
      <c r="AJ10" s="291"/>
      <c r="AK10" s="291"/>
      <c r="AL10" s="291"/>
      <c r="AM10" s="292"/>
      <c r="AN10" s="291"/>
      <c r="AO10" s="291"/>
      <c r="AP10" s="291"/>
      <c r="AQ10" s="291"/>
      <c r="AR10" s="291"/>
      <c r="AS10" s="291"/>
      <c r="AT10" s="291"/>
      <c r="AU10" s="291"/>
      <c r="AV10" s="291"/>
      <c r="AW10" s="291"/>
      <c r="AX10" s="291"/>
      <c r="AY10" s="294"/>
      <c r="AZ10" s="332"/>
      <c r="BA10" s="335"/>
      <c r="BB10" s="329"/>
      <c r="BC10" s="295"/>
      <c r="BD10" s="332"/>
      <c r="BE10" s="335"/>
      <c r="BF10" s="329"/>
      <c r="BG10" s="295"/>
      <c r="BH10" s="295"/>
      <c r="BI10" s="332">
        <f t="shared" si="1"/>
        <v>0</v>
      </c>
      <c r="BJ10" s="335">
        <f t="shared" si="2"/>
        <v>0</v>
      </c>
      <c r="BK10" s="296">
        <f t="shared" si="0"/>
        <v>0</v>
      </c>
    </row>
    <row r="11" spans="1:63">
      <c r="A11" s="297" t="s">
        <v>222</v>
      </c>
      <c r="B11" s="291"/>
      <c r="C11" s="292"/>
      <c r="D11" s="291"/>
      <c r="E11" s="291"/>
      <c r="F11" s="291"/>
      <c r="G11" s="291"/>
      <c r="H11" s="291"/>
      <c r="I11" s="291"/>
      <c r="J11" s="291"/>
      <c r="K11" s="291"/>
      <c r="L11" s="291"/>
      <c r="M11" s="291"/>
      <c r="N11" s="293"/>
      <c r="O11" s="291"/>
      <c r="P11" s="299"/>
      <c r="Q11" s="299"/>
      <c r="R11" s="299"/>
      <c r="S11" s="299"/>
      <c r="T11" s="300"/>
      <c r="U11" s="291"/>
      <c r="V11" s="291"/>
      <c r="W11" s="291"/>
      <c r="X11" s="291"/>
      <c r="Y11" s="291"/>
      <c r="Z11" s="293"/>
      <c r="AA11" s="291"/>
      <c r="AB11" s="291"/>
      <c r="AC11" s="291"/>
      <c r="AD11" s="291"/>
      <c r="AE11" s="291"/>
      <c r="AF11" s="291"/>
      <c r="AG11" s="291"/>
      <c r="AH11" s="291"/>
      <c r="AI11" s="291"/>
      <c r="AJ11" s="291"/>
      <c r="AK11" s="291"/>
      <c r="AL11" s="291"/>
      <c r="AM11" s="292"/>
      <c r="AN11" s="291"/>
      <c r="AO11" s="291"/>
      <c r="AP11" s="291"/>
      <c r="AQ11" s="291"/>
      <c r="AR11" s="291"/>
      <c r="AS11" s="291"/>
      <c r="AT11" s="291"/>
      <c r="AU11" s="291"/>
      <c r="AV11" s="291"/>
      <c r="AW11" s="291"/>
      <c r="AX11" s="291"/>
      <c r="AY11" s="294"/>
      <c r="AZ11" s="333"/>
      <c r="BA11" s="335">
        <v>80</v>
      </c>
      <c r="BB11" s="329"/>
      <c r="BC11" s="295"/>
      <c r="BD11" s="333"/>
      <c r="BE11" s="335">
        <v>3</v>
      </c>
      <c r="BF11" s="329">
        <v>0</v>
      </c>
      <c r="BG11" s="295">
        <v>825</v>
      </c>
      <c r="BH11" s="295"/>
      <c r="BI11" s="332">
        <f t="shared" si="1"/>
        <v>0</v>
      </c>
      <c r="BJ11" s="335">
        <f t="shared" si="2"/>
        <v>198000</v>
      </c>
      <c r="BK11" s="296">
        <f t="shared" si="0"/>
        <v>0</v>
      </c>
    </row>
    <row r="12" spans="1:63">
      <c r="A12" s="297" t="s">
        <v>244</v>
      </c>
      <c r="B12" s="291"/>
      <c r="C12" s="292"/>
      <c r="D12" s="291"/>
      <c r="E12" s="291"/>
      <c r="F12" s="291"/>
      <c r="G12" s="291"/>
      <c r="H12" s="291"/>
      <c r="I12" s="291"/>
      <c r="J12" s="291"/>
      <c r="K12" s="291"/>
      <c r="L12" s="291"/>
      <c r="M12" s="291"/>
      <c r="N12" s="293"/>
      <c r="O12" s="291"/>
      <c r="P12" s="291"/>
      <c r="Q12" s="299"/>
      <c r="R12" s="299"/>
      <c r="S12" s="299"/>
      <c r="T12" s="299"/>
      <c r="U12" s="291"/>
      <c r="V12" s="291"/>
      <c r="W12" s="291"/>
      <c r="X12" s="291"/>
      <c r="Y12" s="291"/>
      <c r="Z12" s="293"/>
      <c r="AA12" s="291"/>
      <c r="AB12" s="291"/>
      <c r="AC12" s="291"/>
      <c r="AD12" s="291"/>
      <c r="AE12" s="291"/>
      <c r="AF12" s="291"/>
      <c r="AG12" s="299"/>
      <c r="AH12" s="299"/>
      <c r="AI12" s="291"/>
      <c r="AJ12" s="291"/>
      <c r="AK12" s="291"/>
      <c r="AL12" s="293"/>
      <c r="AM12" s="291"/>
      <c r="AN12" s="291"/>
      <c r="AO12" s="291"/>
      <c r="AP12" s="291"/>
      <c r="AQ12" s="291"/>
      <c r="AR12" s="291"/>
      <c r="AS12" s="291"/>
      <c r="AT12" s="291"/>
      <c r="AU12" s="291"/>
      <c r="AV12" s="291"/>
      <c r="AW12" s="291"/>
      <c r="AX12" s="291"/>
      <c r="AY12" s="294"/>
      <c r="AZ12" s="333"/>
      <c r="BA12" s="335">
        <v>80</v>
      </c>
      <c r="BB12" s="329">
        <v>40</v>
      </c>
      <c r="BC12" s="295"/>
      <c r="BD12" s="333"/>
      <c r="BE12" s="335">
        <v>2</v>
      </c>
      <c r="BF12" s="329">
        <v>2</v>
      </c>
      <c r="BG12" s="295">
        <v>825</v>
      </c>
      <c r="BH12" s="295"/>
      <c r="BI12" s="332">
        <f t="shared" si="1"/>
        <v>0</v>
      </c>
      <c r="BJ12" s="335">
        <f t="shared" si="2"/>
        <v>132000</v>
      </c>
      <c r="BK12" s="296">
        <f t="shared" si="0"/>
        <v>66000</v>
      </c>
    </row>
    <row r="13" spans="1:63">
      <c r="A13" s="301" t="s">
        <v>223</v>
      </c>
      <c r="B13" s="291"/>
      <c r="C13" s="292"/>
      <c r="D13" s="291"/>
      <c r="E13" s="291"/>
      <c r="F13" s="291"/>
      <c r="G13" s="291"/>
      <c r="H13" s="291"/>
      <c r="I13" s="291"/>
      <c r="J13" s="291"/>
      <c r="K13" s="291"/>
      <c r="L13" s="291"/>
      <c r="M13" s="291"/>
      <c r="N13" s="293"/>
      <c r="O13" s="291"/>
      <c r="P13" s="291"/>
      <c r="Q13" s="291"/>
      <c r="R13" s="300"/>
      <c r="S13" s="300"/>
      <c r="T13" s="302"/>
      <c r="U13" s="302"/>
      <c r="V13" s="302"/>
      <c r="W13" s="302"/>
      <c r="X13" s="302"/>
      <c r="Y13" s="302"/>
      <c r="Z13" s="310"/>
      <c r="AA13" s="302"/>
      <c r="AB13" s="302"/>
      <c r="AC13" s="302"/>
      <c r="AD13" s="302"/>
      <c r="AE13" s="291"/>
      <c r="AF13" s="291"/>
      <c r="AG13" s="291"/>
      <c r="AH13" s="302"/>
      <c r="AI13" s="302"/>
      <c r="AJ13" s="302"/>
      <c r="AK13" s="291"/>
      <c r="AL13" s="293"/>
      <c r="AM13" s="291"/>
      <c r="AN13" s="291"/>
      <c r="AO13" s="291"/>
      <c r="AP13" s="291"/>
      <c r="AQ13" s="291"/>
      <c r="AR13" s="291"/>
      <c r="AS13" s="291"/>
      <c r="AT13" s="291"/>
      <c r="AU13" s="291"/>
      <c r="AV13" s="291"/>
      <c r="AW13" s="291"/>
      <c r="AX13" s="293"/>
      <c r="AY13" s="294"/>
      <c r="AZ13" s="333"/>
      <c r="BA13" s="335">
        <v>180</v>
      </c>
      <c r="BB13" s="329">
        <v>60</v>
      </c>
      <c r="BC13" s="295"/>
      <c r="BD13" s="333"/>
      <c r="BE13" s="335">
        <v>6</v>
      </c>
      <c r="BF13" s="329">
        <v>4</v>
      </c>
      <c r="BG13" s="295">
        <v>714</v>
      </c>
      <c r="BH13" s="295"/>
      <c r="BI13" s="332">
        <f t="shared" si="1"/>
        <v>0</v>
      </c>
      <c r="BJ13" s="335">
        <f t="shared" si="2"/>
        <v>771120</v>
      </c>
      <c r="BK13" s="296">
        <f t="shared" si="0"/>
        <v>171360</v>
      </c>
    </row>
    <row r="14" spans="1:63">
      <c r="A14" s="303" t="s">
        <v>224</v>
      </c>
      <c r="B14" s="291"/>
      <c r="C14" s="292"/>
      <c r="D14" s="291"/>
      <c r="E14" s="291"/>
      <c r="F14" s="291"/>
      <c r="G14" s="291"/>
      <c r="H14" s="291"/>
      <c r="I14" s="291"/>
      <c r="J14" s="291"/>
      <c r="K14" s="291"/>
      <c r="L14" s="291"/>
      <c r="M14" s="291"/>
      <c r="N14" s="293"/>
      <c r="O14" s="291"/>
      <c r="P14" s="291"/>
      <c r="Q14" s="291"/>
      <c r="R14" s="291"/>
      <c r="S14" s="291"/>
      <c r="T14" s="291"/>
      <c r="U14" s="291"/>
      <c r="V14" s="291"/>
      <c r="W14" s="291"/>
      <c r="X14" s="291"/>
      <c r="Y14" s="291"/>
      <c r="Z14" s="293"/>
      <c r="AA14" s="292"/>
      <c r="AB14" s="291"/>
      <c r="AC14" s="304"/>
      <c r="AD14" s="304"/>
      <c r="AE14" s="291"/>
      <c r="AF14" s="291"/>
      <c r="AG14" s="291"/>
      <c r="AH14" s="291"/>
      <c r="AI14" s="291"/>
      <c r="AJ14" s="304"/>
      <c r="AK14" s="304"/>
      <c r="AL14" s="305"/>
      <c r="AM14" s="291"/>
      <c r="AN14" s="291"/>
      <c r="AO14" s="295"/>
      <c r="AP14" s="291"/>
      <c r="AQ14" s="291"/>
      <c r="AR14" s="291"/>
      <c r="AS14" s="291"/>
      <c r="AT14" s="291"/>
      <c r="AU14" s="291"/>
      <c r="AV14" s="291"/>
      <c r="AW14" s="291"/>
      <c r="AX14" s="293"/>
      <c r="AY14" s="294"/>
      <c r="AZ14" s="333"/>
      <c r="BA14" s="335">
        <v>40</v>
      </c>
      <c r="BB14" s="329">
        <v>60</v>
      </c>
      <c r="BC14" s="295"/>
      <c r="BD14" s="333"/>
      <c r="BE14" s="335">
        <v>2</v>
      </c>
      <c r="BF14" s="329">
        <v>2</v>
      </c>
      <c r="BG14" s="295">
        <v>650</v>
      </c>
      <c r="BH14" s="295"/>
      <c r="BI14" s="332">
        <f t="shared" si="1"/>
        <v>0</v>
      </c>
      <c r="BJ14" s="335">
        <f t="shared" si="2"/>
        <v>52000</v>
      </c>
      <c r="BK14" s="296">
        <f t="shared" si="0"/>
        <v>78000</v>
      </c>
    </row>
    <row r="15" spans="1:63">
      <c r="A15" s="306" t="s">
        <v>225</v>
      </c>
      <c r="B15" s="291"/>
      <c r="C15" s="292"/>
      <c r="D15" s="291"/>
      <c r="E15" s="291"/>
      <c r="F15" s="291"/>
      <c r="G15" s="291"/>
      <c r="H15" s="291"/>
      <c r="I15" s="291"/>
      <c r="J15" s="291"/>
      <c r="K15" s="291"/>
      <c r="L15" s="291"/>
      <c r="M15" s="291"/>
      <c r="N15" s="293"/>
      <c r="O15" s="291"/>
      <c r="P15" s="291"/>
      <c r="Q15" s="291"/>
      <c r="R15" s="291"/>
      <c r="S15" s="291"/>
      <c r="T15" s="291"/>
      <c r="U15" s="291"/>
      <c r="V15" s="291"/>
      <c r="W15" s="291"/>
      <c r="X15" s="291"/>
      <c r="Y15" s="291"/>
      <c r="Z15" s="291"/>
      <c r="AA15" s="292"/>
      <c r="AB15" s="291"/>
      <c r="AC15" s="291"/>
      <c r="AD15" s="307"/>
      <c r="AE15" s="307"/>
      <c r="AF15" s="307"/>
      <c r="AG15" s="307"/>
      <c r="AH15" s="291"/>
      <c r="AI15" s="291"/>
      <c r="AJ15" s="291"/>
      <c r="AK15" s="307"/>
      <c r="AL15" s="308"/>
      <c r="AM15" s="307"/>
      <c r="AN15" s="307"/>
      <c r="AO15" s="295"/>
      <c r="AP15" s="295"/>
      <c r="AQ15" s="295"/>
      <c r="AR15" s="295"/>
      <c r="AS15" s="295"/>
      <c r="AT15" s="295"/>
      <c r="AU15" s="295"/>
      <c r="AV15" s="295"/>
      <c r="AW15" s="295"/>
      <c r="AX15" s="293"/>
      <c r="AY15" s="294"/>
      <c r="AZ15" s="333"/>
      <c r="BA15" s="335">
        <v>80</v>
      </c>
      <c r="BB15" s="329">
        <v>80</v>
      </c>
      <c r="BC15" s="295"/>
      <c r="BD15" s="333"/>
      <c r="BE15" s="335">
        <v>2</v>
      </c>
      <c r="BF15" s="329">
        <v>2</v>
      </c>
      <c r="BG15" s="295">
        <v>650</v>
      </c>
      <c r="BH15" s="295"/>
      <c r="BI15" s="332">
        <f t="shared" si="1"/>
        <v>0</v>
      </c>
      <c r="BJ15" s="335">
        <f t="shared" si="2"/>
        <v>104000</v>
      </c>
      <c r="BK15" s="296">
        <f t="shared" si="0"/>
        <v>104000</v>
      </c>
    </row>
    <row r="16" spans="1:63">
      <c r="A16" s="290" t="s">
        <v>245</v>
      </c>
      <c r="B16" s="291"/>
      <c r="C16" s="292"/>
      <c r="D16" s="291"/>
      <c r="E16" s="291"/>
      <c r="F16" s="291"/>
      <c r="G16" s="291"/>
      <c r="H16" s="291"/>
      <c r="I16" s="291"/>
      <c r="J16" s="291"/>
      <c r="K16" s="291"/>
      <c r="L16" s="291"/>
      <c r="M16" s="291"/>
      <c r="N16" s="293"/>
      <c r="O16" s="291"/>
      <c r="P16" s="291"/>
      <c r="Q16" s="291"/>
      <c r="R16" s="291"/>
      <c r="S16" s="291"/>
      <c r="T16" s="291"/>
      <c r="U16" s="291"/>
      <c r="V16" s="291"/>
      <c r="W16" s="291"/>
      <c r="X16" s="291"/>
      <c r="Y16" s="291"/>
      <c r="Z16" s="291"/>
      <c r="AA16" s="292"/>
      <c r="AB16" s="291"/>
      <c r="AC16" s="291"/>
      <c r="AD16" s="291"/>
      <c r="AE16" s="291"/>
      <c r="AF16" s="291"/>
      <c r="AG16" s="291"/>
      <c r="AH16" s="291"/>
      <c r="AI16" s="291"/>
      <c r="AJ16" s="291"/>
      <c r="AK16" s="291"/>
      <c r="AL16" s="293"/>
      <c r="AM16" s="291"/>
      <c r="AN16" s="291"/>
      <c r="AO16" s="295"/>
      <c r="AP16" s="295"/>
      <c r="AQ16" s="295"/>
      <c r="AR16" s="295"/>
      <c r="AS16" s="295"/>
      <c r="AT16" s="295"/>
      <c r="AU16" s="295"/>
      <c r="AV16" s="295"/>
      <c r="AW16" s="295"/>
      <c r="AX16" s="293"/>
      <c r="AY16" s="294"/>
      <c r="AZ16" s="332"/>
      <c r="BA16" s="335"/>
      <c r="BB16" s="329"/>
      <c r="BC16" s="295"/>
      <c r="BD16" s="332"/>
      <c r="BE16" s="335"/>
      <c r="BF16" s="329"/>
      <c r="BG16" s="295"/>
      <c r="BH16" s="295"/>
      <c r="BI16" s="332">
        <f t="shared" si="1"/>
        <v>0</v>
      </c>
      <c r="BJ16" s="335">
        <f t="shared" si="2"/>
        <v>0</v>
      </c>
      <c r="BK16" s="296">
        <f t="shared" si="0"/>
        <v>0</v>
      </c>
    </row>
    <row r="17" spans="1:63">
      <c r="A17" s="297" t="s">
        <v>227</v>
      </c>
      <c r="B17" s="291"/>
      <c r="C17" s="298"/>
      <c r="D17" s="299"/>
      <c r="E17" s="299"/>
      <c r="F17" s="291"/>
      <c r="G17" s="291"/>
      <c r="H17" s="291"/>
      <c r="I17" s="291"/>
      <c r="J17" s="291"/>
      <c r="K17" s="291"/>
      <c r="L17" s="291"/>
      <c r="M17" s="291"/>
      <c r="N17" s="293"/>
      <c r="O17" s="291"/>
      <c r="P17" s="299"/>
      <c r="Q17" s="299"/>
      <c r="R17" s="299"/>
      <c r="S17" s="299"/>
      <c r="T17" s="300"/>
      <c r="U17" s="291"/>
      <c r="V17" s="291"/>
      <c r="W17" s="291"/>
      <c r="X17" s="291"/>
      <c r="Y17" s="291"/>
      <c r="Z17" s="293"/>
      <c r="AA17" s="291"/>
      <c r="AB17" s="291"/>
      <c r="AC17" s="291"/>
      <c r="AD17" s="291"/>
      <c r="AE17" s="300"/>
      <c r="AF17" s="291"/>
      <c r="AG17" s="291"/>
      <c r="AH17" s="291"/>
      <c r="AI17" s="291"/>
      <c r="AJ17" s="291"/>
      <c r="AK17" s="291"/>
      <c r="AL17" s="293"/>
      <c r="AM17" s="291"/>
      <c r="AN17" s="291"/>
      <c r="AO17" s="291"/>
      <c r="AP17" s="291"/>
      <c r="AQ17" s="291"/>
      <c r="AR17" s="291"/>
      <c r="AS17" s="291"/>
      <c r="AT17" s="291"/>
      <c r="AU17" s="291"/>
      <c r="AV17" s="291"/>
      <c r="AW17" s="291"/>
      <c r="AX17" s="293"/>
      <c r="AY17" s="294"/>
      <c r="AZ17" s="332">
        <v>60</v>
      </c>
      <c r="BA17" s="335">
        <v>80</v>
      </c>
      <c r="BB17" s="329">
        <v>0</v>
      </c>
      <c r="BC17" s="295"/>
      <c r="BD17" s="332">
        <v>2</v>
      </c>
      <c r="BE17" s="335">
        <v>2</v>
      </c>
      <c r="BF17" s="329">
        <v>0</v>
      </c>
      <c r="BG17" s="295">
        <v>825</v>
      </c>
      <c r="BH17" s="295"/>
      <c r="BI17" s="332">
        <f t="shared" si="1"/>
        <v>99000</v>
      </c>
      <c r="BJ17" s="335">
        <f t="shared" si="2"/>
        <v>132000</v>
      </c>
      <c r="BK17" s="296">
        <f t="shared" si="0"/>
        <v>0</v>
      </c>
    </row>
    <row r="18" spans="1:63">
      <c r="A18" s="297" t="s">
        <v>244</v>
      </c>
      <c r="B18" s="291"/>
      <c r="C18" s="292"/>
      <c r="D18" s="299"/>
      <c r="E18" s="299"/>
      <c r="F18" s="299"/>
      <c r="G18" s="291"/>
      <c r="H18" s="291"/>
      <c r="I18" s="291"/>
      <c r="J18" s="291"/>
      <c r="K18" s="291"/>
      <c r="L18" s="291"/>
      <c r="M18" s="291"/>
      <c r="N18" s="293"/>
      <c r="O18" s="291"/>
      <c r="P18" s="291"/>
      <c r="Q18" s="299"/>
      <c r="R18" s="299"/>
      <c r="S18" s="299"/>
      <c r="T18" s="299"/>
      <c r="U18" s="299"/>
      <c r="V18" s="291"/>
      <c r="W18" s="291"/>
      <c r="X18" s="291"/>
      <c r="Y18" s="291"/>
      <c r="Z18" s="293"/>
      <c r="AA18" s="291"/>
      <c r="AB18" s="291"/>
      <c r="AC18" s="291"/>
      <c r="AD18" s="291"/>
      <c r="AE18" s="291"/>
      <c r="AF18" s="291"/>
      <c r="AG18" s="291"/>
      <c r="AH18" s="291"/>
      <c r="AI18" s="291"/>
      <c r="AJ18" s="291"/>
      <c r="AK18" s="291"/>
      <c r="AL18" s="293"/>
      <c r="AM18" s="291"/>
      <c r="AN18" s="291"/>
      <c r="AO18" s="291"/>
      <c r="AP18" s="291"/>
      <c r="AQ18" s="291"/>
      <c r="AR18" s="291"/>
      <c r="AS18" s="291"/>
      <c r="AT18" s="291"/>
      <c r="AU18" s="291"/>
      <c r="AV18" s="291"/>
      <c r="AW18" s="291"/>
      <c r="AX18" s="293"/>
      <c r="AY18" s="294"/>
      <c r="AZ18" s="332">
        <v>60</v>
      </c>
      <c r="BA18" s="335">
        <v>100</v>
      </c>
      <c r="BB18" s="329">
        <v>0</v>
      </c>
      <c r="BC18" s="295"/>
      <c r="BD18" s="332">
        <v>6</v>
      </c>
      <c r="BE18" s="335">
        <v>4</v>
      </c>
      <c r="BF18" s="329">
        <v>0</v>
      </c>
      <c r="BG18" s="295">
        <v>825</v>
      </c>
      <c r="BH18" s="295"/>
      <c r="BI18" s="332">
        <f t="shared" si="1"/>
        <v>297000</v>
      </c>
      <c r="BJ18" s="335">
        <f t="shared" si="2"/>
        <v>330000</v>
      </c>
      <c r="BK18" s="296">
        <f t="shared" si="0"/>
        <v>0</v>
      </c>
    </row>
    <row r="19" spans="1:63">
      <c r="A19" s="301" t="s">
        <v>223</v>
      </c>
      <c r="B19" s="291"/>
      <c r="C19" s="292"/>
      <c r="D19" s="291"/>
      <c r="E19" s="302"/>
      <c r="F19" s="302"/>
      <c r="G19" s="302"/>
      <c r="H19" s="302"/>
      <c r="I19" s="302"/>
      <c r="J19" s="302"/>
      <c r="K19" s="302"/>
      <c r="L19" s="302"/>
      <c r="M19" s="291"/>
      <c r="N19" s="293"/>
      <c r="O19" s="291"/>
      <c r="P19" s="291"/>
      <c r="Q19" s="291"/>
      <c r="R19" s="300"/>
      <c r="S19" s="300"/>
      <c r="T19" s="302"/>
      <c r="U19" s="302"/>
      <c r="V19" s="302"/>
      <c r="W19" s="302"/>
      <c r="X19" s="302"/>
      <c r="Y19" s="302"/>
      <c r="Z19" s="310"/>
      <c r="AA19" s="302"/>
      <c r="AB19" s="302"/>
      <c r="AC19" s="302"/>
      <c r="AD19" s="302"/>
      <c r="AE19" s="302"/>
      <c r="AF19" s="302"/>
      <c r="AG19" s="302"/>
      <c r="AH19" s="291"/>
      <c r="AI19" s="291"/>
      <c r="AJ19" s="291"/>
      <c r="AK19" s="291"/>
      <c r="AL19" s="293"/>
      <c r="AM19" s="291"/>
      <c r="AN19" s="291"/>
      <c r="AO19" s="291"/>
      <c r="AP19" s="291"/>
      <c r="AQ19" s="291"/>
      <c r="AR19" s="291"/>
      <c r="AS19" s="291"/>
      <c r="AT19" s="291"/>
      <c r="AU19" s="291"/>
      <c r="AV19" s="291"/>
      <c r="AW19" s="291"/>
      <c r="AX19" s="293"/>
      <c r="AY19" s="294"/>
      <c r="AZ19" s="332">
        <v>160</v>
      </c>
      <c r="BA19" s="335">
        <v>280</v>
      </c>
      <c r="BB19" s="329">
        <v>0</v>
      </c>
      <c r="BC19" s="295"/>
      <c r="BD19" s="332">
        <v>6</v>
      </c>
      <c r="BE19" s="335">
        <v>6</v>
      </c>
      <c r="BF19" s="329">
        <v>0</v>
      </c>
      <c r="BG19" s="295">
        <v>714</v>
      </c>
      <c r="BH19" s="295"/>
      <c r="BI19" s="332">
        <f t="shared" si="1"/>
        <v>685440</v>
      </c>
      <c r="BJ19" s="335">
        <f t="shared" si="2"/>
        <v>1199520</v>
      </c>
      <c r="BK19" s="296">
        <f t="shared" si="0"/>
        <v>0</v>
      </c>
    </row>
    <row r="20" spans="1:63">
      <c r="A20" s="301" t="s">
        <v>255</v>
      </c>
      <c r="B20" s="291"/>
      <c r="C20" s="292"/>
      <c r="D20" s="291"/>
      <c r="E20" s="328" t="s">
        <v>256</v>
      </c>
      <c r="F20" s="291"/>
      <c r="G20" s="291"/>
      <c r="H20" s="291"/>
      <c r="I20" s="291"/>
      <c r="J20" s="291"/>
      <c r="K20" s="291"/>
      <c r="L20" s="291"/>
      <c r="M20" s="291"/>
      <c r="N20" s="293"/>
      <c r="O20" s="291"/>
      <c r="P20" s="291"/>
      <c r="Q20" s="291"/>
      <c r="R20" s="291"/>
      <c r="S20" s="291"/>
      <c r="T20" s="291"/>
      <c r="U20" s="291"/>
      <c r="V20" s="291"/>
      <c r="W20" s="291"/>
      <c r="X20" s="328" t="s">
        <v>256</v>
      </c>
      <c r="Y20" s="328"/>
      <c r="Z20" s="293"/>
      <c r="AA20" s="292"/>
      <c r="AB20" s="291"/>
      <c r="AC20" s="291"/>
      <c r="AD20" s="291"/>
      <c r="AE20" s="291"/>
      <c r="AF20" s="291"/>
      <c r="AG20" s="291"/>
      <c r="AH20" s="291"/>
      <c r="AI20" s="291"/>
      <c r="AJ20" s="291"/>
      <c r="AK20" s="291"/>
      <c r="AL20" s="293"/>
      <c r="AM20" s="291"/>
      <c r="AN20" s="291"/>
      <c r="AO20" s="291"/>
      <c r="AP20" s="291"/>
      <c r="AQ20" s="291"/>
      <c r="AR20" s="291"/>
      <c r="AS20" s="291"/>
      <c r="AT20" s="291"/>
      <c r="AU20" s="291"/>
      <c r="AV20" s="291"/>
      <c r="AW20" s="291"/>
      <c r="AX20" s="293"/>
      <c r="AY20" s="294"/>
      <c r="AZ20" s="332" t="s">
        <v>257</v>
      </c>
      <c r="BA20" s="335" t="s">
        <v>257</v>
      </c>
      <c r="BB20" s="329" t="s">
        <v>257</v>
      </c>
      <c r="BC20" s="295"/>
      <c r="BD20" s="332" t="s">
        <v>257</v>
      </c>
      <c r="BE20" s="335" t="s">
        <v>257</v>
      </c>
      <c r="BF20" s="329" t="s">
        <v>257</v>
      </c>
      <c r="BG20" s="295" t="s">
        <v>257</v>
      </c>
      <c r="BH20" s="295"/>
      <c r="BI20" s="332">
        <v>600000</v>
      </c>
      <c r="BJ20" s="335">
        <v>200000</v>
      </c>
      <c r="BK20" s="296">
        <v>200000</v>
      </c>
    </row>
    <row r="21" spans="1:63">
      <c r="A21" s="303" t="s">
        <v>224</v>
      </c>
      <c r="B21" s="291"/>
      <c r="C21" s="292"/>
      <c r="D21" s="291"/>
      <c r="E21" s="291"/>
      <c r="F21" s="291"/>
      <c r="G21" s="291"/>
      <c r="H21" s="291"/>
      <c r="I21" s="291"/>
      <c r="J21" s="304"/>
      <c r="K21" s="304"/>
      <c r="L21" s="304"/>
      <c r="M21" s="291"/>
      <c r="N21" s="293"/>
      <c r="O21" s="291"/>
      <c r="P21" s="291"/>
      <c r="Q21" s="291"/>
      <c r="R21" s="291"/>
      <c r="S21" s="291"/>
      <c r="T21" s="291"/>
      <c r="U21" s="291"/>
      <c r="V21" s="291"/>
      <c r="W21" s="291"/>
      <c r="X21" s="291"/>
      <c r="Y21" s="291"/>
      <c r="Z21" s="293"/>
      <c r="AA21" s="292"/>
      <c r="AB21" s="291"/>
      <c r="AC21" s="291"/>
      <c r="AD21" s="291"/>
      <c r="AE21" s="291"/>
      <c r="AF21" s="291"/>
      <c r="AG21" s="304"/>
      <c r="AH21" s="304"/>
      <c r="AI21" s="304"/>
      <c r="AJ21" s="291"/>
      <c r="AK21" s="291"/>
      <c r="AL21" s="293"/>
      <c r="AM21" s="291"/>
      <c r="AN21" s="291"/>
      <c r="AO21" s="291"/>
      <c r="AP21" s="291"/>
      <c r="AQ21" s="291"/>
      <c r="AR21" s="291"/>
      <c r="AS21" s="291"/>
      <c r="AT21" s="291"/>
      <c r="AU21" s="291"/>
      <c r="AV21" s="291"/>
      <c r="AW21" s="291"/>
      <c r="AX21" s="293"/>
      <c r="AY21" s="294"/>
      <c r="AZ21" s="332">
        <v>60</v>
      </c>
      <c r="BA21" s="335">
        <v>60</v>
      </c>
      <c r="BB21" s="329">
        <v>0</v>
      </c>
      <c r="BC21" s="295"/>
      <c r="BD21" s="332">
        <v>2</v>
      </c>
      <c r="BE21" s="335">
        <v>2</v>
      </c>
      <c r="BF21" s="329">
        <v>0</v>
      </c>
      <c r="BG21" s="295">
        <v>650</v>
      </c>
      <c r="BH21" s="295"/>
      <c r="BI21" s="332">
        <f t="shared" si="1"/>
        <v>78000</v>
      </c>
      <c r="BJ21" s="335">
        <f t="shared" si="2"/>
        <v>78000</v>
      </c>
      <c r="BK21" s="296">
        <f t="shared" ref="BK21:BK26" si="3">BB21*BF21*$BG21</f>
        <v>0</v>
      </c>
    </row>
    <row r="22" spans="1:63">
      <c r="A22" s="306" t="s">
        <v>225</v>
      </c>
      <c r="B22" s="291"/>
      <c r="C22" s="292"/>
      <c r="D22" s="291"/>
      <c r="E22" s="291"/>
      <c r="F22" s="291"/>
      <c r="G22" s="291"/>
      <c r="H22" s="291"/>
      <c r="I22" s="291"/>
      <c r="J22" s="291"/>
      <c r="K22" s="307"/>
      <c r="L22" s="307"/>
      <c r="M22" s="307"/>
      <c r="N22" s="308"/>
      <c r="O22" s="291"/>
      <c r="P22" s="291"/>
      <c r="Q22" s="291"/>
      <c r="R22" s="291"/>
      <c r="S22" s="291"/>
      <c r="T22" s="291"/>
      <c r="U22" s="291"/>
      <c r="V22" s="291"/>
      <c r="W22" s="291"/>
      <c r="X22" s="291"/>
      <c r="Y22" s="291"/>
      <c r="Z22" s="293"/>
      <c r="AA22" s="292"/>
      <c r="AB22" s="291"/>
      <c r="AC22" s="291"/>
      <c r="AD22" s="291"/>
      <c r="AE22" s="291"/>
      <c r="AF22" s="291"/>
      <c r="AG22" s="291"/>
      <c r="AH22" s="291"/>
      <c r="AI22" s="307"/>
      <c r="AJ22" s="307"/>
      <c r="AK22" s="307"/>
      <c r="AL22" s="308"/>
      <c r="AM22" s="307"/>
      <c r="AN22" s="307"/>
      <c r="AO22" s="309"/>
      <c r="AP22" s="309"/>
      <c r="AQ22" s="309"/>
      <c r="AR22" s="309"/>
      <c r="AS22" s="309"/>
      <c r="AT22" s="309"/>
      <c r="AU22" s="309"/>
      <c r="AV22" s="291"/>
      <c r="AW22" s="291"/>
      <c r="AX22" s="293"/>
      <c r="AY22" s="294"/>
      <c r="AZ22" s="332">
        <v>80</v>
      </c>
      <c r="BA22" s="335">
        <v>60</v>
      </c>
      <c r="BB22" s="329">
        <v>180</v>
      </c>
      <c r="BC22" s="295"/>
      <c r="BD22" s="332">
        <v>3</v>
      </c>
      <c r="BE22" s="335">
        <v>3</v>
      </c>
      <c r="BF22" s="329">
        <v>2</v>
      </c>
      <c r="BG22" s="295">
        <v>650</v>
      </c>
      <c r="BH22" s="295"/>
      <c r="BI22" s="332">
        <f t="shared" si="1"/>
        <v>156000</v>
      </c>
      <c r="BJ22" s="335">
        <f t="shared" si="2"/>
        <v>117000</v>
      </c>
      <c r="BK22" s="296">
        <f t="shared" si="3"/>
        <v>234000</v>
      </c>
    </row>
    <row r="23" spans="1:63">
      <c r="A23" s="290" t="s">
        <v>246</v>
      </c>
      <c r="B23" s="291"/>
      <c r="C23" s="292"/>
      <c r="D23" s="291"/>
      <c r="E23" s="291"/>
      <c r="F23" s="291"/>
      <c r="G23" s="291"/>
      <c r="H23" s="291"/>
      <c r="I23" s="291"/>
      <c r="J23" s="291"/>
      <c r="K23" s="291"/>
      <c r="L23" s="291"/>
      <c r="M23" s="291"/>
      <c r="N23" s="293"/>
      <c r="O23" s="291"/>
      <c r="P23" s="291"/>
      <c r="Q23" s="291"/>
      <c r="R23" s="291"/>
      <c r="S23" s="291"/>
      <c r="T23" s="291"/>
      <c r="U23" s="291"/>
      <c r="V23" s="291"/>
      <c r="W23" s="291"/>
      <c r="X23" s="291"/>
      <c r="Y23" s="291"/>
      <c r="Z23" s="293"/>
      <c r="AA23" s="292"/>
      <c r="AB23" s="291"/>
      <c r="AC23" s="291"/>
      <c r="AD23" s="291"/>
      <c r="AE23" s="291"/>
      <c r="AF23" s="291"/>
      <c r="AG23" s="291"/>
      <c r="AH23" s="291"/>
      <c r="AI23" s="291"/>
      <c r="AJ23" s="291"/>
      <c r="AK23" s="291"/>
      <c r="AL23" s="293"/>
      <c r="AM23" s="291"/>
      <c r="AN23" s="291"/>
      <c r="AO23" s="291"/>
      <c r="AP23" s="291"/>
      <c r="AQ23" s="291"/>
      <c r="AR23" s="291"/>
      <c r="AS23" s="291"/>
      <c r="AT23" s="291"/>
      <c r="AU23" s="291"/>
      <c r="AV23" s="291"/>
      <c r="AW23" s="291"/>
      <c r="AX23" s="293"/>
      <c r="AY23" s="294"/>
      <c r="AZ23" s="332"/>
      <c r="BA23" s="335"/>
      <c r="BB23" s="329"/>
      <c r="BC23" s="295"/>
      <c r="BD23" s="332"/>
      <c r="BE23" s="335"/>
      <c r="BF23" s="329"/>
      <c r="BG23" s="295"/>
      <c r="BH23" s="295"/>
      <c r="BI23" s="332">
        <f t="shared" si="1"/>
        <v>0</v>
      </c>
      <c r="BJ23" s="335">
        <f t="shared" si="2"/>
        <v>0</v>
      </c>
      <c r="BK23" s="296">
        <f t="shared" si="3"/>
        <v>0</v>
      </c>
    </row>
    <row r="24" spans="1:63">
      <c r="A24" s="297" t="s">
        <v>222</v>
      </c>
      <c r="B24" s="291"/>
      <c r="C24" s="292"/>
      <c r="D24" s="291"/>
      <c r="E24" s="299"/>
      <c r="F24" s="299"/>
      <c r="G24" s="299"/>
      <c r="H24" s="299"/>
      <c r="I24" s="291"/>
      <c r="J24" s="291"/>
      <c r="K24" s="291"/>
      <c r="L24" s="291"/>
      <c r="M24" s="291"/>
      <c r="N24" s="293"/>
      <c r="O24" s="291"/>
      <c r="P24" s="291"/>
      <c r="Q24" s="291"/>
      <c r="R24" s="291"/>
      <c r="S24" s="291"/>
      <c r="T24" s="291"/>
      <c r="U24" s="291"/>
      <c r="V24" s="291"/>
      <c r="W24" s="291"/>
      <c r="X24" s="291"/>
      <c r="Y24" s="291"/>
      <c r="Z24" s="293"/>
      <c r="AA24" s="291"/>
      <c r="AB24" s="291"/>
      <c r="AC24" s="299"/>
      <c r="AD24" s="299"/>
      <c r="AE24" s="299"/>
      <c r="AF24" s="299"/>
      <c r="AG24" s="291"/>
      <c r="AH24" s="291"/>
      <c r="AI24" s="291"/>
      <c r="AJ24" s="291"/>
      <c r="AK24" s="291"/>
      <c r="AL24" s="293"/>
      <c r="AM24" s="291"/>
      <c r="AN24" s="299"/>
      <c r="AO24" s="299"/>
      <c r="AP24" s="299"/>
      <c r="AQ24" s="299"/>
      <c r="AR24" s="299"/>
      <c r="AS24" s="291"/>
      <c r="AT24" s="291"/>
      <c r="AU24" s="291"/>
      <c r="AV24" s="291"/>
      <c r="AW24" s="291"/>
      <c r="AX24" s="293"/>
      <c r="AY24" s="294"/>
      <c r="AZ24" s="332">
        <v>80</v>
      </c>
      <c r="BA24" s="335">
        <v>80</v>
      </c>
      <c r="BB24" s="329">
        <v>100</v>
      </c>
      <c r="BC24" s="295"/>
      <c r="BD24" s="332">
        <v>2</v>
      </c>
      <c r="BE24" s="335">
        <v>2</v>
      </c>
      <c r="BF24" s="329">
        <v>4</v>
      </c>
      <c r="BG24" s="295">
        <v>825</v>
      </c>
      <c r="BH24" s="295"/>
      <c r="BI24" s="332">
        <f t="shared" si="1"/>
        <v>132000</v>
      </c>
      <c r="BJ24" s="335">
        <f t="shared" si="2"/>
        <v>132000</v>
      </c>
      <c r="BK24" s="296">
        <f t="shared" si="3"/>
        <v>330000</v>
      </c>
    </row>
    <row r="25" spans="1:63">
      <c r="A25" s="297" t="s">
        <v>228</v>
      </c>
      <c r="B25" s="291"/>
      <c r="C25" s="292"/>
      <c r="D25" s="291"/>
      <c r="E25" s="291"/>
      <c r="F25" s="300"/>
      <c r="G25" s="299"/>
      <c r="H25" s="299"/>
      <c r="I25" s="299"/>
      <c r="J25" s="291"/>
      <c r="K25" s="291"/>
      <c r="L25" s="291"/>
      <c r="M25" s="291"/>
      <c r="N25" s="293"/>
      <c r="O25" s="291"/>
      <c r="P25" s="291"/>
      <c r="Q25" s="291"/>
      <c r="R25" s="291"/>
      <c r="S25" s="291"/>
      <c r="T25" s="291"/>
      <c r="U25" s="291"/>
      <c r="V25" s="291"/>
      <c r="W25" s="291"/>
      <c r="X25" s="291"/>
      <c r="Y25" s="291"/>
      <c r="Z25" s="293"/>
      <c r="AA25" s="291"/>
      <c r="AB25" s="291"/>
      <c r="AC25" s="291"/>
      <c r="AD25" s="300"/>
      <c r="AE25" s="299"/>
      <c r="AF25" s="299"/>
      <c r="AG25" s="299"/>
      <c r="AH25" s="291"/>
      <c r="AI25" s="291"/>
      <c r="AJ25" s="291"/>
      <c r="AK25" s="291"/>
      <c r="AL25" s="293"/>
      <c r="AM25" s="291"/>
      <c r="AN25" s="291"/>
      <c r="AO25" s="291"/>
      <c r="AP25" s="299"/>
      <c r="AQ25" s="299"/>
      <c r="AR25" s="299"/>
      <c r="AS25" s="299"/>
      <c r="AT25" s="291"/>
      <c r="AU25" s="291"/>
      <c r="AV25" s="291"/>
      <c r="AW25" s="291"/>
      <c r="AX25" s="293"/>
      <c r="AY25" s="294"/>
      <c r="AZ25" s="332">
        <v>60</v>
      </c>
      <c r="BA25" s="335">
        <v>60</v>
      </c>
      <c r="BB25" s="329">
        <v>80</v>
      </c>
      <c r="BC25" s="295"/>
      <c r="BD25" s="332">
        <v>2</v>
      </c>
      <c r="BE25" s="335">
        <v>3</v>
      </c>
      <c r="BF25" s="329">
        <v>4</v>
      </c>
      <c r="BG25" s="295">
        <v>825</v>
      </c>
      <c r="BH25" s="295"/>
      <c r="BI25" s="332">
        <f t="shared" si="1"/>
        <v>99000</v>
      </c>
      <c r="BJ25" s="335">
        <f t="shared" si="2"/>
        <v>148500</v>
      </c>
      <c r="BK25" s="296">
        <f t="shared" si="3"/>
        <v>264000</v>
      </c>
    </row>
    <row r="26" spans="1:63">
      <c r="A26" s="301" t="s">
        <v>223</v>
      </c>
      <c r="B26" s="291"/>
      <c r="C26" s="292"/>
      <c r="D26" s="291"/>
      <c r="E26" s="291"/>
      <c r="F26" s="291"/>
      <c r="G26" s="291"/>
      <c r="H26" s="291"/>
      <c r="I26" s="302"/>
      <c r="J26" s="302"/>
      <c r="K26" s="302"/>
      <c r="L26" s="300"/>
      <c r="M26" s="300"/>
      <c r="N26" s="293"/>
      <c r="O26" s="291"/>
      <c r="P26" s="291"/>
      <c r="Q26" s="291"/>
      <c r="R26" s="291"/>
      <c r="S26" s="291"/>
      <c r="T26" s="291"/>
      <c r="U26" s="291"/>
      <c r="V26" s="291"/>
      <c r="W26" s="291"/>
      <c r="X26" s="291"/>
      <c r="Y26" s="291"/>
      <c r="Z26" s="293"/>
      <c r="AA26" s="291"/>
      <c r="AB26" s="291"/>
      <c r="AC26" s="291"/>
      <c r="AD26" s="291"/>
      <c r="AE26" s="291"/>
      <c r="AF26" s="291"/>
      <c r="AG26" s="302"/>
      <c r="AH26" s="302"/>
      <c r="AI26" s="302"/>
      <c r="AJ26" s="300"/>
      <c r="AK26" s="300"/>
      <c r="AL26" s="293"/>
      <c r="AM26" s="291"/>
      <c r="AN26" s="291"/>
      <c r="AO26" s="291"/>
      <c r="AP26" s="291"/>
      <c r="AQ26" s="302"/>
      <c r="AR26" s="302"/>
      <c r="AS26" s="302"/>
      <c r="AT26" s="302"/>
      <c r="AU26" s="302"/>
      <c r="AV26" s="300"/>
      <c r="AW26" s="300"/>
      <c r="AX26" s="293"/>
      <c r="AY26" s="294"/>
      <c r="AZ26" s="332">
        <v>60</v>
      </c>
      <c r="BA26" s="335">
        <v>60</v>
      </c>
      <c r="BB26" s="329">
        <v>100</v>
      </c>
      <c r="BC26" s="295"/>
      <c r="BD26" s="332">
        <v>3</v>
      </c>
      <c r="BE26" s="335">
        <v>2</v>
      </c>
      <c r="BF26" s="329">
        <v>4</v>
      </c>
      <c r="BG26" s="295">
        <v>714</v>
      </c>
      <c r="BH26" s="295"/>
      <c r="BI26" s="332">
        <f t="shared" si="1"/>
        <v>128520</v>
      </c>
      <c r="BJ26" s="335">
        <f t="shared" si="2"/>
        <v>85680</v>
      </c>
      <c r="BK26" s="296">
        <f t="shared" si="3"/>
        <v>285600</v>
      </c>
    </row>
    <row r="27" spans="1:63">
      <c r="A27" s="301" t="s">
        <v>255</v>
      </c>
      <c r="B27" s="291"/>
      <c r="C27" s="292"/>
      <c r="D27" s="291"/>
      <c r="E27" s="291"/>
      <c r="F27" s="291"/>
      <c r="G27" s="291"/>
      <c r="H27" s="291"/>
      <c r="I27" s="328" t="s">
        <v>256</v>
      </c>
      <c r="J27" s="291"/>
      <c r="K27" s="291"/>
      <c r="L27" s="300"/>
      <c r="M27" s="300"/>
      <c r="N27" s="293"/>
      <c r="O27" s="291"/>
      <c r="P27" s="291"/>
      <c r="Q27" s="291"/>
      <c r="R27" s="291"/>
      <c r="S27" s="291"/>
      <c r="T27" s="291"/>
      <c r="U27" s="291"/>
      <c r="V27" s="291"/>
      <c r="W27" s="291"/>
      <c r="X27" s="291"/>
      <c r="Y27" s="291"/>
      <c r="Z27" s="293"/>
      <c r="AA27" s="291"/>
      <c r="AB27" s="291"/>
      <c r="AC27" s="291"/>
      <c r="AD27" s="291"/>
      <c r="AE27" s="291"/>
      <c r="AF27" s="291"/>
      <c r="AG27" s="328" t="s">
        <v>256</v>
      </c>
      <c r="AH27" s="291"/>
      <c r="AI27" s="291"/>
      <c r="AJ27" s="300"/>
      <c r="AK27" s="300"/>
      <c r="AL27" s="293"/>
      <c r="AM27" s="291"/>
      <c r="AN27" s="291"/>
      <c r="AO27" s="291"/>
      <c r="AP27" s="291"/>
      <c r="AQ27" s="291"/>
      <c r="AR27" s="291"/>
      <c r="AS27" s="328" t="s">
        <v>256</v>
      </c>
      <c r="AT27" s="291"/>
      <c r="AU27" s="291"/>
      <c r="AV27" s="300"/>
      <c r="AW27" s="300"/>
      <c r="AX27" s="293"/>
      <c r="AY27" s="294"/>
      <c r="AZ27" s="332" t="s">
        <v>257</v>
      </c>
      <c r="BA27" s="335" t="s">
        <v>257</v>
      </c>
      <c r="BB27" s="329" t="s">
        <v>257</v>
      </c>
      <c r="BC27" s="295"/>
      <c r="BD27" s="332" t="s">
        <v>257</v>
      </c>
      <c r="BE27" s="335" t="s">
        <v>257</v>
      </c>
      <c r="BF27" s="329" t="s">
        <v>257</v>
      </c>
      <c r="BG27" s="295" t="s">
        <v>257</v>
      </c>
      <c r="BH27" s="295"/>
      <c r="BI27" s="332">
        <v>150000</v>
      </c>
      <c r="BJ27" s="335">
        <v>100000</v>
      </c>
      <c r="BK27" s="296">
        <v>200000</v>
      </c>
    </row>
    <row r="28" spans="1:63">
      <c r="A28" s="303" t="s">
        <v>224</v>
      </c>
      <c r="B28" s="291"/>
      <c r="C28" s="292"/>
      <c r="D28" s="291"/>
      <c r="E28" s="291"/>
      <c r="F28" s="291"/>
      <c r="G28" s="291"/>
      <c r="H28" s="291"/>
      <c r="I28" s="291"/>
      <c r="J28" s="291"/>
      <c r="K28" s="304"/>
      <c r="L28" s="304"/>
      <c r="M28" s="291"/>
      <c r="N28" s="293"/>
      <c r="O28" s="291"/>
      <c r="P28" s="291"/>
      <c r="Q28" s="291"/>
      <c r="R28" s="291"/>
      <c r="S28" s="291"/>
      <c r="T28" s="291"/>
      <c r="U28" s="291"/>
      <c r="V28" s="291"/>
      <c r="W28" s="291"/>
      <c r="X28" s="291"/>
      <c r="Y28" s="291"/>
      <c r="Z28" s="293"/>
      <c r="AA28" s="291"/>
      <c r="AB28" s="291"/>
      <c r="AC28" s="291"/>
      <c r="AD28" s="291"/>
      <c r="AE28" s="291"/>
      <c r="AF28" s="291"/>
      <c r="AG28" s="291"/>
      <c r="AH28" s="291"/>
      <c r="AI28" s="304"/>
      <c r="AJ28" s="304"/>
      <c r="AK28" s="291"/>
      <c r="AL28" s="293"/>
      <c r="AM28" s="291"/>
      <c r="AN28" s="291"/>
      <c r="AO28" s="291"/>
      <c r="AP28" s="291"/>
      <c r="AQ28" s="291"/>
      <c r="AR28" s="291"/>
      <c r="AS28" s="291"/>
      <c r="AT28" s="291"/>
      <c r="AU28" s="304"/>
      <c r="AV28" s="304"/>
      <c r="AW28" s="291"/>
      <c r="AX28" s="293"/>
      <c r="AY28" s="294"/>
      <c r="AZ28" s="332">
        <v>100</v>
      </c>
      <c r="BA28" s="335">
        <v>100</v>
      </c>
      <c r="BB28" s="329">
        <v>100</v>
      </c>
      <c r="BC28" s="295"/>
      <c r="BD28" s="332">
        <v>2</v>
      </c>
      <c r="BE28" s="335">
        <v>2</v>
      </c>
      <c r="BF28" s="329">
        <v>2</v>
      </c>
      <c r="BG28" s="295">
        <v>650</v>
      </c>
      <c r="BH28" s="295"/>
      <c r="BI28" s="332">
        <f t="shared" si="1"/>
        <v>130000</v>
      </c>
      <c r="BJ28" s="335">
        <f t="shared" si="2"/>
        <v>130000</v>
      </c>
      <c r="BK28" s="296">
        <f t="shared" ref="BK28:BK39" si="4">BB28*BF28*$BG28</f>
        <v>130000</v>
      </c>
    </row>
    <row r="29" spans="1:63">
      <c r="A29" s="306" t="s">
        <v>225</v>
      </c>
      <c r="B29" s="291"/>
      <c r="C29" s="292"/>
      <c r="D29" s="291"/>
      <c r="E29" s="291"/>
      <c r="F29" s="291"/>
      <c r="G29" s="291"/>
      <c r="H29" s="291"/>
      <c r="I29" s="291"/>
      <c r="J29" s="291"/>
      <c r="K29" s="291"/>
      <c r="L29" s="307"/>
      <c r="M29" s="307"/>
      <c r="N29" s="293"/>
      <c r="O29" s="291"/>
      <c r="P29" s="291"/>
      <c r="Q29" s="291"/>
      <c r="R29" s="291"/>
      <c r="S29" s="291"/>
      <c r="T29" s="291"/>
      <c r="U29" s="291"/>
      <c r="V29" s="291"/>
      <c r="W29" s="291"/>
      <c r="X29" s="291"/>
      <c r="Y29" s="291"/>
      <c r="Z29" s="293"/>
      <c r="AA29" s="291"/>
      <c r="AB29" s="291"/>
      <c r="AC29" s="291"/>
      <c r="AD29" s="291"/>
      <c r="AE29" s="291"/>
      <c r="AF29" s="291"/>
      <c r="AG29" s="291"/>
      <c r="AH29" s="291"/>
      <c r="AI29" s="291"/>
      <c r="AJ29" s="307"/>
      <c r="AK29" s="307"/>
      <c r="AL29" s="293"/>
      <c r="AM29" s="291"/>
      <c r="AN29" s="291"/>
      <c r="AO29" s="291"/>
      <c r="AP29" s="291"/>
      <c r="AQ29" s="291"/>
      <c r="AR29" s="291"/>
      <c r="AS29" s="291"/>
      <c r="AT29" s="291"/>
      <c r="AU29" s="291"/>
      <c r="AV29" s="307"/>
      <c r="AW29" s="307"/>
      <c r="AX29" s="293"/>
      <c r="AY29" s="294"/>
      <c r="AZ29" s="332">
        <v>160</v>
      </c>
      <c r="BA29" s="335">
        <v>160</v>
      </c>
      <c r="BB29" s="329">
        <v>160</v>
      </c>
      <c r="BC29" s="295"/>
      <c r="BD29" s="332">
        <v>1</v>
      </c>
      <c r="BE29" s="335">
        <v>1</v>
      </c>
      <c r="BF29" s="329">
        <v>2</v>
      </c>
      <c r="BG29" s="295">
        <v>550</v>
      </c>
      <c r="BH29" s="295"/>
      <c r="BI29" s="332">
        <f t="shared" si="1"/>
        <v>88000</v>
      </c>
      <c r="BJ29" s="335">
        <f t="shared" si="2"/>
        <v>88000</v>
      </c>
      <c r="BK29" s="296">
        <f t="shared" si="4"/>
        <v>176000</v>
      </c>
    </row>
    <row r="30" spans="1:63">
      <c r="A30" s="290" t="s">
        <v>247</v>
      </c>
      <c r="B30" s="291"/>
      <c r="C30" s="292"/>
      <c r="D30" s="291"/>
      <c r="E30" s="291"/>
      <c r="F30" s="291"/>
      <c r="G30" s="291"/>
      <c r="H30" s="291"/>
      <c r="I30" s="291"/>
      <c r="J30" s="291"/>
      <c r="K30" s="291"/>
      <c r="L30" s="291"/>
      <c r="M30" s="291"/>
      <c r="N30" s="293"/>
      <c r="O30" s="291"/>
      <c r="P30" s="291"/>
      <c r="Q30" s="291"/>
      <c r="R30" s="291"/>
      <c r="S30" s="291"/>
      <c r="T30" s="291"/>
      <c r="U30" s="291"/>
      <c r="V30" s="291"/>
      <c r="W30" s="291"/>
      <c r="X30" s="291"/>
      <c r="Y30" s="291"/>
      <c r="Z30" s="293"/>
      <c r="AA30" s="292"/>
      <c r="AB30" s="291"/>
      <c r="AC30" s="291"/>
      <c r="AD30" s="291"/>
      <c r="AE30" s="291"/>
      <c r="AF30" s="291"/>
      <c r="AG30" s="291"/>
      <c r="AH30" s="291"/>
      <c r="AI30" s="291"/>
      <c r="AJ30" s="291"/>
      <c r="AK30" s="291"/>
      <c r="AL30" s="293"/>
      <c r="AM30" s="291"/>
      <c r="AN30" s="291"/>
      <c r="AO30" s="291"/>
      <c r="AP30" s="291"/>
      <c r="AQ30" s="291"/>
      <c r="AR30" s="291"/>
      <c r="AS30" s="291"/>
      <c r="AT30" s="291"/>
      <c r="AU30" s="291"/>
      <c r="AV30" s="291"/>
      <c r="AW30" s="291"/>
      <c r="AX30" s="293"/>
      <c r="AY30" s="294"/>
      <c r="AZ30" s="332"/>
      <c r="BA30" s="335"/>
      <c r="BB30" s="329"/>
      <c r="BC30" s="295"/>
      <c r="BD30" s="332"/>
      <c r="BE30" s="335"/>
      <c r="BF30" s="329"/>
      <c r="BG30" s="295"/>
      <c r="BH30" s="295"/>
      <c r="BI30" s="332">
        <f t="shared" si="1"/>
        <v>0</v>
      </c>
      <c r="BJ30" s="335">
        <f t="shared" si="2"/>
        <v>0</v>
      </c>
      <c r="BK30" s="296">
        <f t="shared" si="4"/>
        <v>0</v>
      </c>
    </row>
    <row r="31" spans="1:63">
      <c r="A31" s="297" t="s">
        <v>222</v>
      </c>
      <c r="B31" s="291"/>
      <c r="C31" s="292"/>
      <c r="D31" s="291"/>
      <c r="E31" s="291"/>
      <c r="F31" s="299"/>
      <c r="G31" s="299"/>
      <c r="H31" s="299"/>
      <c r="I31" s="291"/>
      <c r="J31" s="291"/>
      <c r="K31" s="291"/>
      <c r="L31" s="291"/>
      <c r="M31" s="291"/>
      <c r="N31" s="293"/>
      <c r="O31" s="291"/>
      <c r="P31" s="291"/>
      <c r="Q31" s="291"/>
      <c r="R31" s="299"/>
      <c r="S31" s="299"/>
      <c r="T31" s="299"/>
      <c r="U31" s="291"/>
      <c r="V31" s="291"/>
      <c r="W31" s="291"/>
      <c r="X31" s="291"/>
      <c r="Y31" s="291"/>
      <c r="Z31" s="293"/>
      <c r="AA31" s="292"/>
      <c r="AB31" s="291"/>
      <c r="AC31" s="291"/>
      <c r="AD31" s="299"/>
      <c r="AE31" s="299"/>
      <c r="AF31" s="299"/>
      <c r="AG31" s="299"/>
      <c r="AH31" s="300"/>
      <c r="AI31" s="291"/>
      <c r="AJ31" s="291"/>
      <c r="AK31" s="291"/>
      <c r="AL31" s="293"/>
      <c r="AM31" s="291"/>
      <c r="AN31" s="291"/>
      <c r="AO31" s="291"/>
      <c r="AP31" s="291"/>
      <c r="AQ31" s="291"/>
      <c r="AR31" s="291"/>
      <c r="AS31" s="291"/>
      <c r="AT31" s="291"/>
      <c r="AU31" s="291"/>
      <c r="AV31" s="291"/>
      <c r="AW31" s="291"/>
      <c r="AX31" s="291"/>
      <c r="AY31" s="294"/>
      <c r="AZ31" s="332">
        <v>60</v>
      </c>
      <c r="BA31" s="335">
        <v>60</v>
      </c>
      <c r="BB31" s="329">
        <v>80</v>
      </c>
      <c r="BD31" s="332">
        <v>4</v>
      </c>
      <c r="BE31" s="335">
        <v>2</v>
      </c>
      <c r="BF31" s="329">
        <v>4</v>
      </c>
      <c r="BG31" s="295">
        <v>825</v>
      </c>
      <c r="BH31" s="295"/>
      <c r="BI31" s="332">
        <f t="shared" si="1"/>
        <v>198000</v>
      </c>
      <c r="BJ31" s="335">
        <f t="shared" si="2"/>
        <v>99000</v>
      </c>
      <c r="BK31" s="296">
        <f t="shared" si="4"/>
        <v>264000</v>
      </c>
    </row>
    <row r="32" spans="1:63">
      <c r="A32" s="297" t="s">
        <v>228</v>
      </c>
      <c r="B32" s="291"/>
      <c r="C32" s="292"/>
      <c r="D32" s="291"/>
      <c r="E32" s="291"/>
      <c r="F32" s="291"/>
      <c r="G32" s="299"/>
      <c r="H32" s="299"/>
      <c r="I32" s="299"/>
      <c r="J32" s="291"/>
      <c r="K32" s="291"/>
      <c r="L32" s="291"/>
      <c r="M32" s="291"/>
      <c r="N32" s="293"/>
      <c r="O32" s="291"/>
      <c r="P32" s="291"/>
      <c r="Q32" s="291"/>
      <c r="R32" s="291"/>
      <c r="S32" s="299"/>
      <c r="T32" s="299"/>
      <c r="U32" s="291"/>
      <c r="V32" s="291"/>
      <c r="W32" s="291"/>
      <c r="X32" s="291"/>
      <c r="Y32" s="291"/>
      <c r="Z32" s="293"/>
      <c r="AA32" s="292"/>
      <c r="AB32" s="291"/>
      <c r="AC32" s="291"/>
      <c r="AD32" s="291"/>
      <c r="AE32" s="299"/>
      <c r="AF32" s="299"/>
      <c r="AG32" s="299"/>
      <c r="AH32" s="299"/>
      <c r="AI32" s="291"/>
      <c r="AJ32" s="291"/>
      <c r="AK32" s="291"/>
      <c r="AL32" s="293"/>
      <c r="AM32" s="291"/>
      <c r="AN32" s="291"/>
      <c r="AO32" s="291"/>
      <c r="AP32" s="291"/>
      <c r="AQ32" s="291"/>
      <c r="AR32" s="291"/>
      <c r="AS32" s="291"/>
      <c r="AT32" s="291"/>
      <c r="AU32" s="291"/>
      <c r="AV32" s="291"/>
      <c r="AW32" s="291"/>
      <c r="AX32" s="291"/>
      <c r="AY32" s="294"/>
      <c r="AZ32" s="332">
        <v>60</v>
      </c>
      <c r="BA32" s="335">
        <v>40</v>
      </c>
      <c r="BB32" s="329">
        <v>80</v>
      </c>
      <c r="BD32" s="332">
        <v>4</v>
      </c>
      <c r="BE32" s="335">
        <v>2</v>
      </c>
      <c r="BF32" s="329">
        <v>3</v>
      </c>
      <c r="BG32" s="295">
        <v>825</v>
      </c>
      <c r="BH32" s="295"/>
      <c r="BI32" s="332">
        <f t="shared" si="1"/>
        <v>198000</v>
      </c>
      <c r="BJ32" s="335">
        <f t="shared" si="2"/>
        <v>66000</v>
      </c>
      <c r="BK32" s="296">
        <f t="shared" si="4"/>
        <v>198000</v>
      </c>
    </row>
    <row r="33" spans="1:63">
      <c r="A33" s="301" t="s">
        <v>223</v>
      </c>
      <c r="B33" s="291"/>
      <c r="C33" s="292"/>
      <c r="D33" s="291"/>
      <c r="E33" s="291"/>
      <c r="F33" s="291"/>
      <c r="G33" s="302"/>
      <c r="H33" s="302"/>
      <c r="I33" s="302"/>
      <c r="J33" s="302"/>
      <c r="K33" s="302"/>
      <c r="L33" s="302"/>
      <c r="M33" s="291"/>
      <c r="N33" s="293"/>
      <c r="O33" s="291"/>
      <c r="P33" s="291"/>
      <c r="Q33" s="291"/>
      <c r="R33" s="291"/>
      <c r="S33" s="302"/>
      <c r="T33" s="302"/>
      <c r="U33" s="302"/>
      <c r="V33" s="302"/>
      <c r="W33" s="302"/>
      <c r="X33" s="302"/>
      <c r="Y33" s="291"/>
      <c r="Z33" s="293"/>
      <c r="AA33" s="292"/>
      <c r="AB33" s="291"/>
      <c r="AC33" s="291"/>
      <c r="AD33" s="291"/>
      <c r="AE33" s="291"/>
      <c r="AF33" s="300"/>
      <c r="AG33" s="300"/>
      <c r="AH33" s="302"/>
      <c r="AI33" s="302"/>
      <c r="AJ33" s="302"/>
      <c r="AK33" s="302"/>
      <c r="AL33" s="310"/>
      <c r="AM33" s="302"/>
      <c r="AN33" s="302"/>
      <c r="AO33" s="302"/>
      <c r="AP33" s="302"/>
      <c r="AQ33" s="302"/>
      <c r="AR33" s="302"/>
      <c r="AS33" s="302"/>
      <c r="AT33" s="300"/>
      <c r="AU33" s="291"/>
      <c r="AV33" s="291"/>
      <c r="AW33" s="291"/>
      <c r="AX33" s="291"/>
      <c r="AY33" s="294"/>
      <c r="AZ33" s="332">
        <v>120</v>
      </c>
      <c r="BA33" s="335">
        <v>120</v>
      </c>
      <c r="BB33" s="329">
        <v>240</v>
      </c>
      <c r="BD33" s="332">
        <v>5</v>
      </c>
      <c r="BE33" s="335">
        <v>3</v>
      </c>
      <c r="BF33" s="329">
        <v>5</v>
      </c>
      <c r="BG33" s="295">
        <v>714</v>
      </c>
      <c r="BH33" s="295"/>
      <c r="BI33" s="332">
        <f t="shared" si="1"/>
        <v>428400</v>
      </c>
      <c r="BJ33" s="335">
        <f t="shared" si="2"/>
        <v>257040</v>
      </c>
      <c r="BK33" s="296">
        <f t="shared" si="4"/>
        <v>856800</v>
      </c>
    </row>
    <row r="34" spans="1:63">
      <c r="A34" s="303" t="s">
        <v>224</v>
      </c>
      <c r="B34" s="291"/>
      <c r="C34" s="292"/>
      <c r="D34" s="291"/>
      <c r="E34" s="291"/>
      <c r="F34" s="291"/>
      <c r="G34" s="291"/>
      <c r="H34" s="291"/>
      <c r="I34" s="291"/>
      <c r="J34" s="291"/>
      <c r="K34" s="304"/>
      <c r="L34" s="304"/>
      <c r="M34" s="304"/>
      <c r="N34" s="293"/>
      <c r="O34" s="291"/>
      <c r="P34" s="291"/>
      <c r="Q34" s="291"/>
      <c r="R34" s="291"/>
      <c r="S34" s="291"/>
      <c r="T34" s="291"/>
      <c r="U34" s="291"/>
      <c r="V34" s="291"/>
      <c r="W34" s="304"/>
      <c r="X34" s="304"/>
      <c r="Y34" s="304"/>
      <c r="Z34" s="293"/>
      <c r="AA34" s="292"/>
      <c r="AB34" s="291"/>
      <c r="AC34" s="291"/>
      <c r="AD34" s="291"/>
      <c r="AE34" s="291"/>
      <c r="AF34" s="291"/>
      <c r="AG34" s="291"/>
      <c r="AH34" s="291"/>
      <c r="AI34" s="291"/>
      <c r="AJ34" s="291"/>
      <c r="AK34" s="291"/>
      <c r="AL34" s="293"/>
      <c r="AM34" s="291"/>
      <c r="AN34" s="291"/>
      <c r="AO34" s="291"/>
      <c r="AP34" s="291"/>
      <c r="AQ34" s="291"/>
      <c r="AR34" s="304"/>
      <c r="AS34" s="304"/>
      <c r="AT34" s="304"/>
      <c r="AU34" s="304"/>
      <c r="AV34" s="291"/>
      <c r="AW34" s="291"/>
      <c r="AX34" s="291"/>
      <c r="AY34" s="294"/>
      <c r="AZ34" s="332">
        <v>60</v>
      </c>
      <c r="BA34" s="335">
        <v>60</v>
      </c>
      <c r="BB34" s="329">
        <v>80</v>
      </c>
      <c r="BD34" s="332">
        <v>2</v>
      </c>
      <c r="BE34" s="335">
        <v>2</v>
      </c>
      <c r="BF34" s="329">
        <v>2</v>
      </c>
      <c r="BG34" s="295">
        <v>650</v>
      </c>
      <c r="BH34" s="295"/>
      <c r="BI34" s="332">
        <f t="shared" si="1"/>
        <v>78000</v>
      </c>
      <c r="BJ34" s="335">
        <f t="shared" si="2"/>
        <v>78000</v>
      </c>
      <c r="BK34" s="296">
        <f t="shared" si="4"/>
        <v>104000</v>
      </c>
    </row>
    <row r="35" spans="1:63">
      <c r="A35" s="306" t="s">
        <v>229</v>
      </c>
      <c r="B35" s="291"/>
      <c r="C35" s="292"/>
      <c r="D35" s="291"/>
      <c r="E35" s="291"/>
      <c r="F35" s="291"/>
      <c r="G35" s="291"/>
      <c r="H35" s="291"/>
      <c r="I35" s="291"/>
      <c r="J35" s="291"/>
      <c r="K35" s="291"/>
      <c r="L35" s="291"/>
      <c r="M35" s="307"/>
      <c r="N35" s="308"/>
      <c r="O35" s="291"/>
      <c r="P35" s="291"/>
      <c r="Q35" s="291"/>
      <c r="R35" s="291"/>
      <c r="S35" s="291"/>
      <c r="T35" s="291"/>
      <c r="U35" s="291"/>
      <c r="V35" s="291"/>
      <c r="W35" s="291"/>
      <c r="X35" s="291"/>
      <c r="Y35" s="307"/>
      <c r="Z35" s="308"/>
      <c r="AA35" s="292"/>
      <c r="AB35" s="291"/>
      <c r="AC35" s="291"/>
      <c r="AD35" s="291"/>
      <c r="AE35" s="291"/>
      <c r="AF35" s="291"/>
      <c r="AG35" s="291"/>
      <c r="AH35" s="291"/>
      <c r="AI35" s="291"/>
      <c r="AJ35" s="291"/>
      <c r="AK35" s="291"/>
      <c r="AL35" s="293"/>
      <c r="AM35" s="291"/>
      <c r="AN35" s="291"/>
      <c r="AO35" s="291"/>
      <c r="AP35" s="291"/>
      <c r="AQ35" s="291"/>
      <c r="AR35" s="291"/>
      <c r="AS35" s="291"/>
      <c r="AT35" s="291"/>
      <c r="AU35" s="307"/>
      <c r="AV35" s="307"/>
      <c r="AW35" s="307"/>
      <c r="AX35" s="307"/>
      <c r="AY35" s="294"/>
      <c r="AZ35" s="332">
        <v>40</v>
      </c>
      <c r="BA35" s="335">
        <v>40</v>
      </c>
      <c r="BB35" s="329">
        <v>80</v>
      </c>
      <c r="BD35" s="332">
        <v>2</v>
      </c>
      <c r="BE35" s="335">
        <v>2</v>
      </c>
      <c r="BF35" s="329">
        <v>2</v>
      </c>
      <c r="BG35" s="295">
        <v>550</v>
      </c>
      <c r="BH35" s="295"/>
      <c r="BI35" s="332">
        <f t="shared" si="1"/>
        <v>44000</v>
      </c>
      <c r="BJ35" s="335">
        <f t="shared" si="2"/>
        <v>44000</v>
      </c>
      <c r="BK35" s="296">
        <f t="shared" si="4"/>
        <v>88000</v>
      </c>
    </row>
    <row r="36" spans="1:63">
      <c r="A36" s="290" t="s">
        <v>248</v>
      </c>
      <c r="B36" s="291"/>
      <c r="C36" s="292"/>
      <c r="D36" s="291"/>
      <c r="E36" s="291"/>
      <c r="F36" s="291"/>
      <c r="G36" s="291"/>
      <c r="H36" s="291"/>
      <c r="I36" s="291"/>
      <c r="J36" s="291"/>
      <c r="K36" s="291"/>
      <c r="L36" s="291"/>
      <c r="M36" s="291"/>
      <c r="N36" s="293"/>
      <c r="O36" s="291"/>
      <c r="P36" s="291"/>
      <c r="Q36" s="291"/>
      <c r="R36" s="291"/>
      <c r="S36" s="291"/>
      <c r="T36" s="291"/>
      <c r="U36" s="291"/>
      <c r="V36" s="291"/>
      <c r="W36" s="291"/>
      <c r="X36" s="291"/>
      <c r="Y36" s="291"/>
      <c r="Z36" s="293"/>
      <c r="AA36" s="292"/>
      <c r="AB36" s="291"/>
      <c r="AC36" s="291"/>
      <c r="AD36" s="291"/>
      <c r="AE36" s="291"/>
      <c r="AF36" s="291"/>
      <c r="AG36" s="291"/>
      <c r="AH36" s="291"/>
      <c r="AI36" s="291"/>
      <c r="AJ36" s="291"/>
      <c r="AK36" s="291"/>
      <c r="AL36" s="293"/>
      <c r="AM36" s="291"/>
      <c r="AN36" s="291"/>
      <c r="AO36" s="291"/>
      <c r="AP36" s="291"/>
      <c r="AQ36" s="291"/>
      <c r="AR36" s="291"/>
      <c r="AS36" s="291"/>
      <c r="AT36" s="291"/>
      <c r="AU36" s="291"/>
      <c r="AV36" s="291"/>
      <c r="AW36" s="291"/>
      <c r="AX36" s="293"/>
      <c r="AY36" s="294"/>
      <c r="AZ36" s="332"/>
      <c r="BA36" s="335"/>
      <c r="BB36" s="329"/>
      <c r="BC36" s="295"/>
      <c r="BD36" s="332"/>
      <c r="BE36" s="335"/>
      <c r="BF36" s="329"/>
      <c r="BG36" s="295"/>
      <c r="BH36" s="295"/>
      <c r="BI36" s="332">
        <f t="shared" si="1"/>
        <v>0</v>
      </c>
      <c r="BJ36" s="335">
        <f t="shared" si="2"/>
        <v>0</v>
      </c>
      <c r="BK36" s="296">
        <f t="shared" si="4"/>
        <v>0</v>
      </c>
    </row>
    <row r="37" spans="1:63">
      <c r="A37" s="297" t="s">
        <v>222</v>
      </c>
      <c r="B37" s="291"/>
      <c r="C37" s="292"/>
      <c r="D37" s="291"/>
      <c r="E37" s="299"/>
      <c r="F37" s="299"/>
      <c r="G37" s="299"/>
      <c r="H37" s="299"/>
      <c r="I37" s="291"/>
      <c r="J37" s="291"/>
      <c r="K37" s="291"/>
      <c r="L37" s="291"/>
      <c r="M37" s="291"/>
      <c r="N37" s="293"/>
      <c r="O37" s="291"/>
      <c r="P37" s="291"/>
      <c r="Q37" s="291"/>
      <c r="R37" s="291"/>
      <c r="S37" s="291"/>
      <c r="T37" s="291"/>
      <c r="U37" s="291"/>
      <c r="V37" s="291"/>
      <c r="W37" s="291"/>
      <c r="X37" s="291"/>
      <c r="Y37" s="291"/>
      <c r="Z37" s="293"/>
      <c r="AA37" s="292"/>
      <c r="AB37" s="291"/>
      <c r="AC37" s="291"/>
      <c r="AD37" s="299"/>
      <c r="AE37" s="299"/>
      <c r="AF37" s="299"/>
      <c r="AG37" s="291"/>
      <c r="AH37" s="291"/>
      <c r="AI37" s="291"/>
      <c r="AJ37" s="291"/>
      <c r="AK37" s="291"/>
      <c r="AL37" s="293"/>
      <c r="AM37" s="291"/>
      <c r="AN37" s="291"/>
      <c r="AO37" s="291"/>
      <c r="AP37" s="291"/>
      <c r="AQ37" s="291"/>
      <c r="AR37" s="291"/>
      <c r="AS37" s="291"/>
      <c r="AT37" s="291"/>
      <c r="AU37" s="291"/>
      <c r="AV37" s="291"/>
      <c r="AW37" s="291"/>
      <c r="AX37" s="293"/>
      <c r="AY37" s="294"/>
      <c r="AZ37" s="332">
        <v>80</v>
      </c>
      <c r="BA37" s="335">
        <v>60</v>
      </c>
      <c r="BB37" s="329">
        <v>0</v>
      </c>
      <c r="BC37" s="295"/>
      <c r="BD37" s="332">
        <v>3</v>
      </c>
      <c r="BE37" s="335">
        <v>3</v>
      </c>
      <c r="BF37" s="329">
        <v>0</v>
      </c>
      <c r="BG37" s="295">
        <v>825</v>
      </c>
      <c r="BH37" s="295"/>
      <c r="BI37" s="332">
        <f t="shared" si="1"/>
        <v>198000</v>
      </c>
      <c r="BJ37" s="335">
        <f t="shared" si="2"/>
        <v>148500</v>
      </c>
      <c r="BK37" s="296">
        <f t="shared" si="4"/>
        <v>0</v>
      </c>
    </row>
    <row r="38" spans="1:63">
      <c r="A38" s="297" t="s">
        <v>228</v>
      </c>
      <c r="B38" s="291"/>
      <c r="C38" s="292"/>
      <c r="D38" s="291"/>
      <c r="E38" s="291"/>
      <c r="F38" s="291"/>
      <c r="G38" s="299"/>
      <c r="H38" s="299"/>
      <c r="I38" s="299"/>
      <c r="J38" s="291"/>
      <c r="K38" s="291"/>
      <c r="L38" s="291"/>
      <c r="M38" s="291"/>
      <c r="N38" s="293"/>
      <c r="O38" s="291"/>
      <c r="P38" s="291"/>
      <c r="Q38" s="291"/>
      <c r="R38" s="291"/>
      <c r="S38" s="291"/>
      <c r="T38" s="291"/>
      <c r="U38" s="291"/>
      <c r="V38" s="291"/>
      <c r="W38" s="291"/>
      <c r="X38" s="291"/>
      <c r="Y38" s="291"/>
      <c r="Z38" s="293"/>
      <c r="AA38" s="292"/>
      <c r="AB38" s="291"/>
      <c r="AC38" s="291"/>
      <c r="AD38" s="291"/>
      <c r="AE38" s="299"/>
      <c r="AF38" s="299"/>
      <c r="AG38" s="299"/>
      <c r="AH38" s="291"/>
      <c r="AI38" s="291"/>
      <c r="AJ38" s="291"/>
      <c r="AK38" s="291"/>
      <c r="AL38" s="293"/>
      <c r="AM38" s="291"/>
      <c r="AN38" s="291"/>
      <c r="AO38" s="291"/>
      <c r="AP38" s="291"/>
      <c r="AQ38" s="291"/>
      <c r="AR38" s="291"/>
      <c r="AS38" s="291"/>
      <c r="AT38" s="291"/>
      <c r="AU38" s="291"/>
      <c r="AV38" s="291"/>
      <c r="AW38" s="291"/>
      <c r="AX38" s="293"/>
      <c r="AY38" s="294"/>
      <c r="AZ38" s="332">
        <v>60</v>
      </c>
      <c r="BA38" s="335">
        <v>60</v>
      </c>
      <c r="BB38" s="329">
        <v>0</v>
      </c>
      <c r="BC38" s="295"/>
      <c r="BD38" s="332">
        <v>4</v>
      </c>
      <c r="BE38" s="335">
        <v>4</v>
      </c>
      <c r="BF38" s="329">
        <v>0</v>
      </c>
      <c r="BG38" s="295">
        <v>825</v>
      </c>
      <c r="BH38" s="295"/>
      <c r="BI38" s="332">
        <f t="shared" si="1"/>
        <v>198000</v>
      </c>
      <c r="BJ38" s="335">
        <f t="shared" si="2"/>
        <v>198000</v>
      </c>
      <c r="BK38" s="296">
        <f t="shared" si="4"/>
        <v>0</v>
      </c>
    </row>
    <row r="39" spans="1:63">
      <c r="A39" s="301" t="s">
        <v>223</v>
      </c>
      <c r="B39" s="291"/>
      <c r="C39" s="292"/>
      <c r="D39" s="291"/>
      <c r="E39" s="291"/>
      <c r="F39" s="291"/>
      <c r="G39" s="302"/>
      <c r="H39" s="302"/>
      <c r="I39" s="302"/>
      <c r="J39" s="302"/>
      <c r="K39" s="302"/>
      <c r="L39" s="302"/>
      <c r="M39" s="302"/>
      <c r="N39" s="293"/>
      <c r="O39" s="291"/>
      <c r="P39" s="291"/>
      <c r="Q39" s="291"/>
      <c r="R39" s="291"/>
      <c r="S39" s="291"/>
      <c r="T39" s="291"/>
      <c r="U39" s="291"/>
      <c r="V39" s="291"/>
      <c r="W39" s="291"/>
      <c r="X39" s="291"/>
      <c r="Y39" s="291"/>
      <c r="Z39" s="293"/>
      <c r="AA39" s="292"/>
      <c r="AB39" s="291"/>
      <c r="AC39" s="291"/>
      <c r="AD39" s="291"/>
      <c r="AE39" s="291"/>
      <c r="AF39" s="300"/>
      <c r="AG39" s="302"/>
      <c r="AH39" s="302"/>
      <c r="AI39" s="302"/>
      <c r="AJ39" s="302"/>
      <c r="AK39" s="302"/>
      <c r="AL39" s="293"/>
      <c r="AM39" s="291"/>
      <c r="AN39" s="291"/>
      <c r="AO39" s="291"/>
      <c r="AP39" s="291"/>
      <c r="AQ39" s="291"/>
      <c r="AR39" s="291"/>
      <c r="AS39" s="291"/>
      <c r="AT39" s="291"/>
      <c r="AU39" s="291"/>
      <c r="AV39" s="291"/>
      <c r="AW39" s="291"/>
      <c r="AX39" s="293"/>
      <c r="AY39" s="294"/>
      <c r="AZ39" s="332">
        <v>140</v>
      </c>
      <c r="BA39" s="335">
        <v>100</v>
      </c>
      <c r="BB39" s="329">
        <v>0</v>
      </c>
      <c r="BC39" s="295"/>
      <c r="BD39" s="332">
        <v>3</v>
      </c>
      <c r="BE39" s="335">
        <v>3</v>
      </c>
      <c r="BF39" s="329">
        <v>0</v>
      </c>
      <c r="BG39" s="295">
        <v>714</v>
      </c>
      <c r="BH39" s="295"/>
      <c r="BI39" s="332">
        <f t="shared" si="1"/>
        <v>299880</v>
      </c>
      <c r="BJ39" s="335">
        <f t="shared" si="2"/>
        <v>214200</v>
      </c>
      <c r="BK39" s="296">
        <f t="shared" si="4"/>
        <v>0</v>
      </c>
    </row>
    <row r="40" spans="1:63">
      <c r="A40" s="301" t="s">
        <v>255</v>
      </c>
      <c r="B40" s="291"/>
      <c r="C40" s="292"/>
      <c r="D40" s="291"/>
      <c r="E40" s="291"/>
      <c r="F40" s="291"/>
      <c r="G40" s="291"/>
      <c r="H40" s="300"/>
      <c r="I40" s="328" t="s">
        <v>256</v>
      </c>
      <c r="J40" s="291"/>
      <c r="K40" s="291"/>
      <c r="L40" s="291"/>
      <c r="M40" s="291"/>
      <c r="N40" s="293"/>
      <c r="O40" s="291"/>
      <c r="P40" s="291"/>
      <c r="Q40" s="291"/>
      <c r="R40" s="291"/>
      <c r="S40" s="291"/>
      <c r="T40" s="291"/>
      <c r="U40" s="291"/>
      <c r="V40" s="291"/>
      <c r="W40" s="291"/>
      <c r="X40" s="291"/>
      <c r="Y40" s="291"/>
      <c r="Z40" s="293"/>
      <c r="AA40" s="292"/>
      <c r="AB40" s="291"/>
      <c r="AC40" s="291"/>
      <c r="AD40" s="291"/>
      <c r="AE40" s="291"/>
      <c r="AF40" s="300"/>
      <c r="AG40" s="328" t="s">
        <v>256</v>
      </c>
      <c r="AH40" s="291"/>
      <c r="AI40" s="291"/>
      <c r="AJ40" s="291"/>
      <c r="AK40" s="291"/>
      <c r="AL40" s="293"/>
      <c r="AM40" s="291"/>
      <c r="AN40" s="291"/>
      <c r="AO40" s="291"/>
      <c r="AP40" s="291"/>
      <c r="AQ40" s="291"/>
      <c r="AR40" s="291"/>
      <c r="AS40" s="291"/>
      <c r="AT40" s="291"/>
      <c r="AU40" s="291"/>
      <c r="AV40" s="291"/>
      <c r="AW40" s="291"/>
      <c r="AX40" s="293"/>
      <c r="AY40" s="294"/>
      <c r="AZ40" s="332" t="s">
        <v>257</v>
      </c>
      <c r="BA40" s="335" t="s">
        <v>257</v>
      </c>
      <c r="BB40" s="329" t="s">
        <v>257</v>
      </c>
      <c r="BC40" s="295"/>
      <c r="BD40" s="332" t="s">
        <v>257</v>
      </c>
      <c r="BE40" s="335" t="s">
        <v>257</v>
      </c>
      <c r="BF40" s="329" t="s">
        <v>257</v>
      </c>
      <c r="BG40" s="295" t="s">
        <v>257</v>
      </c>
      <c r="BH40" s="295"/>
      <c r="BI40" s="332">
        <v>200000</v>
      </c>
      <c r="BJ40" s="335">
        <v>250000</v>
      </c>
      <c r="BK40" s="296">
        <v>300000</v>
      </c>
    </row>
    <row r="41" spans="1:63">
      <c r="A41" s="303" t="s">
        <v>224</v>
      </c>
      <c r="B41" s="291"/>
      <c r="C41" s="292"/>
      <c r="D41" s="291"/>
      <c r="E41" s="291"/>
      <c r="F41" s="291"/>
      <c r="G41" s="291"/>
      <c r="H41" s="291"/>
      <c r="I41" s="291"/>
      <c r="J41" s="291"/>
      <c r="K41" s="304"/>
      <c r="L41" s="304"/>
      <c r="M41" s="304"/>
      <c r="N41" s="293"/>
      <c r="O41" s="291"/>
      <c r="P41" s="291"/>
      <c r="Q41" s="291"/>
      <c r="R41" s="291"/>
      <c r="S41" s="291"/>
      <c r="T41" s="291"/>
      <c r="U41" s="291"/>
      <c r="V41" s="291"/>
      <c r="W41" s="291"/>
      <c r="X41" s="291"/>
      <c r="Y41" s="291"/>
      <c r="Z41" s="293"/>
      <c r="AA41" s="292"/>
      <c r="AB41" s="291"/>
      <c r="AC41" s="291"/>
      <c r="AD41" s="291"/>
      <c r="AE41" s="291"/>
      <c r="AF41" s="291"/>
      <c r="AG41" s="291"/>
      <c r="AH41" s="291"/>
      <c r="AI41" s="291"/>
      <c r="AJ41" s="291"/>
      <c r="AK41" s="304"/>
      <c r="AL41" s="305"/>
      <c r="AM41" s="304"/>
      <c r="AN41" s="304"/>
      <c r="AO41" s="291"/>
      <c r="AP41" s="291"/>
      <c r="AQ41" s="291"/>
      <c r="AR41" s="291"/>
      <c r="AS41" s="291"/>
      <c r="AT41" s="291"/>
      <c r="AU41" s="291"/>
      <c r="AV41" s="291"/>
      <c r="AW41" s="291"/>
      <c r="AX41" s="293"/>
      <c r="AY41" s="294"/>
      <c r="AZ41" s="332">
        <v>60</v>
      </c>
      <c r="BA41" s="335">
        <v>40</v>
      </c>
      <c r="BB41" s="329">
        <v>0</v>
      </c>
      <c r="BC41" s="295"/>
      <c r="BD41" s="332">
        <v>2</v>
      </c>
      <c r="BE41" s="335">
        <v>2</v>
      </c>
      <c r="BF41" s="329">
        <v>0</v>
      </c>
      <c r="BG41" s="295">
        <v>650</v>
      </c>
      <c r="BH41" s="295"/>
      <c r="BI41" s="332">
        <f t="shared" si="1"/>
        <v>78000</v>
      </c>
      <c r="BJ41" s="335">
        <f t="shared" si="2"/>
        <v>52000</v>
      </c>
      <c r="BK41" s="296">
        <f t="shared" ref="BK41:BK53" si="5">BB41*BF41*$BG41</f>
        <v>0</v>
      </c>
    </row>
    <row r="42" spans="1:63">
      <c r="A42" s="306" t="s">
        <v>225</v>
      </c>
      <c r="B42" s="291"/>
      <c r="C42" s="292"/>
      <c r="D42" s="291"/>
      <c r="E42" s="291"/>
      <c r="F42" s="291"/>
      <c r="G42" s="291"/>
      <c r="H42" s="291"/>
      <c r="I42" s="291"/>
      <c r="J42" s="291"/>
      <c r="K42" s="291"/>
      <c r="L42" s="291"/>
      <c r="M42" s="307"/>
      <c r="N42" s="308"/>
      <c r="O42" s="291"/>
      <c r="P42" s="291"/>
      <c r="Q42" s="291"/>
      <c r="R42" s="291"/>
      <c r="S42" s="291"/>
      <c r="T42" s="291"/>
      <c r="U42" s="291"/>
      <c r="V42" s="291"/>
      <c r="W42" s="291"/>
      <c r="X42" s="291"/>
      <c r="Y42" s="291"/>
      <c r="Z42" s="293"/>
      <c r="AA42" s="292"/>
      <c r="AB42" s="291"/>
      <c r="AC42" s="291"/>
      <c r="AD42" s="291"/>
      <c r="AE42" s="291"/>
      <c r="AF42" s="291"/>
      <c r="AG42" s="291"/>
      <c r="AH42" s="291"/>
      <c r="AI42" s="291"/>
      <c r="AJ42" s="291"/>
      <c r="AK42" s="291"/>
      <c r="AL42" s="312"/>
      <c r="AM42" s="309"/>
      <c r="AN42" s="307"/>
      <c r="AO42" s="307"/>
      <c r="AP42" s="309"/>
      <c r="AQ42" s="309"/>
      <c r="AR42" s="309"/>
      <c r="AS42" s="309"/>
      <c r="AT42" s="309"/>
      <c r="AU42" s="309"/>
      <c r="AV42" s="291"/>
      <c r="AW42" s="291"/>
      <c r="AX42" s="293"/>
      <c r="AY42" s="294"/>
      <c r="AZ42" s="332">
        <v>40</v>
      </c>
      <c r="BA42" s="335">
        <v>40</v>
      </c>
      <c r="BB42" s="329">
        <v>160</v>
      </c>
      <c r="BC42" s="295"/>
      <c r="BD42" s="332">
        <v>2</v>
      </c>
      <c r="BE42" s="335">
        <v>2</v>
      </c>
      <c r="BF42" s="329">
        <v>3</v>
      </c>
      <c r="BG42" s="295">
        <v>550</v>
      </c>
      <c r="BH42" s="295"/>
      <c r="BI42" s="332">
        <f t="shared" si="1"/>
        <v>44000</v>
      </c>
      <c r="BJ42" s="335">
        <f t="shared" si="2"/>
        <v>44000</v>
      </c>
      <c r="BK42" s="296">
        <f t="shared" si="5"/>
        <v>264000</v>
      </c>
    </row>
    <row r="43" spans="1:63">
      <c r="A43" s="290" t="s">
        <v>249</v>
      </c>
      <c r="B43" s="291"/>
      <c r="C43" s="292"/>
      <c r="D43" s="291"/>
      <c r="E43" s="291"/>
      <c r="F43" s="291"/>
      <c r="G43" s="291"/>
      <c r="H43" s="291"/>
      <c r="I43" s="291"/>
      <c r="J43" s="291"/>
      <c r="K43" s="291"/>
      <c r="L43" s="291"/>
      <c r="M43" s="291"/>
      <c r="N43" s="293"/>
      <c r="O43" s="291"/>
      <c r="P43" s="291"/>
      <c r="Q43" s="291"/>
      <c r="R43" s="291"/>
      <c r="S43" s="291"/>
      <c r="T43" s="291"/>
      <c r="U43" s="291"/>
      <c r="V43" s="291"/>
      <c r="W43" s="291"/>
      <c r="X43" s="291"/>
      <c r="Y43" s="291"/>
      <c r="Z43" s="293"/>
      <c r="AA43" s="292"/>
      <c r="AB43" s="291"/>
      <c r="AC43" s="291"/>
      <c r="AD43" s="291"/>
      <c r="AE43" s="291"/>
      <c r="AF43" s="291"/>
      <c r="AG43" s="291"/>
      <c r="AH43" s="291"/>
      <c r="AI43" s="291"/>
      <c r="AJ43" s="291"/>
      <c r="AK43" s="291"/>
      <c r="AL43" s="293"/>
      <c r="AM43" s="291"/>
      <c r="AN43" s="291"/>
      <c r="AO43" s="291"/>
      <c r="AP43" s="291"/>
      <c r="AQ43" s="291"/>
      <c r="AR43" s="291"/>
      <c r="AS43" s="291"/>
      <c r="AT43" s="291"/>
      <c r="AU43" s="291"/>
      <c r="AV43" s="291"/>
      <c r="AW43" s="291"/>
      <c r="AX43" s="293"/>
      <c r="AY43" s="294"/>
      <c r="AZ43" s="332"/>
      <c r="BA43" s="335"/>
      <c r="BB43" s="329"/>
      <c r="BC43" s="295"/>
      <c r="BD43" s="332"/>
      <c r="BE43" s="335"/>
      <c r="BF43" s="329"/>
      <c r="BG43" s="295"/>
      <c r="BH43" s="295"/>
      <c r="BI43" s="332">
        <f t="shared" si="1"/>
        <v>0</v>
      </c>
      <c r="BJ43" s="335">
        <f t="shared" si="2"/>
        <v>0</v>
      </c>
      <c r="BK43" s="296">
        <f t="shared" si="5"/>
        <v>0</v>
      </c>
    </row>
    <row r="44" spans="1:63">
      <c r="A44" s="297" t="s">
        <v>230</v>
      </c>
      <c r="B44" s="291"/>
      <c r="C44" s="292"/>
      <c r="D44" s="300"/>
      <c r="E44" s="291"/>
      <c r="F44" s="291"/>
      <c r="G44" s="291"/>
      <c r="H44" s="291"/>
      <c r="I44" s="291"/>
      <c r="J44" s="291"/>
      <c r="K44" s="291"/>
      <c r="L44" s="291"/>
      <c r="M44" s="291"/>
      <c r="N44" s="293"/>
      <c r="O44" s="291"/>
      <c r="P44" s="299"/>
      <c r="Q44" s="299"/>
      <c r="R44" s="299"/>
      <c r="S44" s="299"/>
      <c r="T44" s="300"/>
      <c r="U44" s="291"/>
      <c r="V44" s="291"/>
      <c r="W44" s="291"/>
      <c r="X44" s="291"/>
      <c r="Y44" s="291"/>
      <c r="Z44" s="293"/>
      <c r="AA44" s="291"/>
      <c r="AB44" s="291"/>
      <c r="AC44" s="291"/>
      <c r="AD44" s="291"/>
      <c r="AE44" s="291"/>
      <c r="AF44" s="291"/>
      <c r="AG44" s="291"/>
      <c r="AH44" s="291"/>
      <c r="AI44" s="291"/>
      <c r="AJ44" s="291"/>
      <c r="AK44" s="291"/>
      <c r="AL44" s="293"/>
      <c r="AM44" s="291"/>
      <c r="AN44" s="291"/>
      <c r="AO44" s="291"/>
      <c r="AP44" s="291"/>
      <c r="AQ44" s="291"/>
      <c r="AR44" s="291"/>
      <c r="AS44" s="291"/>
      <c r="AT44" s="291"/>
      <c r="AU44" s="291"/>
      <c r="AV44" s="291"/>
      <c r="AW44" s="291"/>
      <c r="AX44" s="293"/>
      <c r="AY44" s="294"/>
      <c r="AZ44" s="332">
        <v>0</v>
      </c>
      <c r="BA44" s="335">
        <v>80</v>
      </c>
      <c r="BB44" s="331"/>
      <c r="BC44" s="295"/>
      <c r="BD44" s="332">
        <v>0</v>
      </c>
      <c r="BE44" s="335">
        <v>4</v>
      </c>
      <c r="BF44" s="329">
        <v>4</v>
      </c>
      <c r="BG44" s="295">
        <v>825</v>
      </c>
      <c r="BH44" s="295"/>
      <c r="BI44" s="332">
        <f t="shared" si="1"/>
        <v>0</v>
      </c>
      <c r="BJ44" s="335">
        <f t="shared" si="2"/>
        <v>264000</v>
      </c>
      <c r="BK44" s="296">
        <f t="shared" si="5"/>
        <v>0</v>
      </c>
    </row>
    <row r="45" spans="1:63">
      <c r="A45" s="297" t="s">
        <v>228</v>
      </c>
      <c r="B45" s="291"/>
      <c r="C45" s="292"/>
      <c r="D45" s="291"/>
      <c r="E45" s="291"/>
      <c r="F45" s="291"/>
      <c r="G45" s="291"/>
      <c r="H45" s="291"/>
      <c r="I45" s="291"/>
      <c r="J45" s="291"/>
      <c r="K45" s="291"/>
      <c r="L45" s="291"/>
      <c r="M45" s="291"/>
      <c r="N45" s="293"/>
      <c r="O45" s="292"/>
      <c r="P45" s="291"/>
      <c r="Q45" s="299"/>
      <c r="R45" s="299"/>
      <c r="S45" s="299"/>
      <c r="T45" s="299"/>
      <c r="U45" s="291"/>
      <c r="V45" s="291"/>
      <c r="W45" s="291"/>
      <c r="X45" s="291"/>
      <c r="Y45" s="291"/>
      <c r="Z45" s="293"/>
      <c r="AA45" s="291"/>
      <c r="AB45" s="291"/>
      <c r="AC45" s="291"/>
      <c r="AD45" s="291"/>
      <c r="AE45" s="291"/>
      <c r="AF45" s="291"/>
      <c r="AG45" s="291"/>
      <c r="AH45" s="291"/>
      <c r="AI45" s="291"/>
      <c r="AJ45" s="291"/>
      <c r="AK45" s="291"/>
      <c r="AL45" s="291"/>
      <c r="AM45" s="292"/>
      <c r="AN45" s="299"/>
      <c r="AO45" s="299"/>
      <c r="AP45" s="291"/>
      <c r="AQ45" s="291"/>
      <c r="AR45" s="291"/>
      <c r="AS45" s="291"/>
      <c r="AT45" s="291"/>
      <c r="AU45" s="291"/>
      <c r="AV45" s="291"/>
      <c r="AW45" s="291"/>
      <c r="AX45" s="293"/>
      <c r="AY45" s="294"/>
      <c r="AZ45" s="332">
        <v>0</v>
      </c>
      <c r="BA45" s="335">
        <v>80</v>
      </c>
      <c r="BB45" s="329">
        <v>40</v>
      </c>
      <c r="BC45" s="295"/>
      <c r="BD45" s="332">
        <v>0</v>
      </c>
      <c r="BE45" s="335">
        <v>4</v>
      </c>
      <c r="BF45" s="329">
        <v>4</v>
      </c>
      <c r="BG45" s="295">
        <v>825</v>
      </c>
      <c r="BH45" s="295"/>
      <c r="BI45" s="332">
        <f t="shared" si="1"/>
        <v>0</v>
      </c>
      <c r="BJ45" s="335">
        <f t="shared" si="2"/>
        <v>264000</v>
      </c>
      <c r="BK45" s="296">
        <f t="shared" si="5"/>
        <v>132000</v>
      </c>
    </row>
    <row r="46" spans="1:63">
      <c r="A46" s="301" t="s">
        <v>223</v>
      </c>
      <c r="B46" s="291"/>
      <c r="C46" s="292"/>
      <c r="D46" s="291"/>
      <c r="E46" s="291"/>
      <c r="F46" s="291"/>
      <c r="G46" s="291"/>
      <c r="H46" s="291"/>
      <c r="I46" s="291"/>
      <c r="J46" s="291"/>
      <c r="K46" s="291"/>
      <c r="L46" s="291"/>
      <c r="M46" s="291"/>
      <c r="N46" s="293"/>
      <c r="O46" s="292"/>
      <c r="P46" s="291"/>
      <c r="Q46" s="291"/>
      <c r="R46" s="300"/>
      <c r="S46" s="300"/>
      <c r="T46" s="302"/>
      <c r="U46" s="302"/>
      <c r="V46" s="302"/>
      <c r="W46" s="302"/>
      <c r="X46" s="302"/>
      <c r="Y46" s="302"/>
      <c r="Z46" s="310"/>
      <c r="AA46" s="302"/>
      <c r="AB46" s="302"/>
      <c r="AC46" s="302"/>
      <c r="AD46" s="302"/>
      <c r="AE46" s="302"/>
      <c r="AF46" s="291"/>
      <c r="AG46" s="291"/>
      <c r="AH46" s="291"/>
      <c r="AI46" s="291"/>
      <c r="AJ46" s="291"/>
      <c r="AK46" s="291"/>
      <c r="AL46" s="291"/>
      <c r="AM46" s="292"/>
      <c r="AN46" s="291"/>
      <c r="AO46" s="302"/>
      <c r="AP46" s="302"/>
      <c r="AQ46" s="302"/>
      <c r="AR46" s="291"/>
      <c r="AS46" s="291"/>
      <c r="AT46" s="291"/>
      <c r="AU46" s="291"/>
      <c r="AV46" s="291"/>
      <c r="AW46" s="291"/>
      <c r="AX46" s="293"/>
      <c r="AY46" s="294"/>
      <c r="AZ46" s="332">
        <v>0</v>
      </c>
      <c r="BA46" s="335">
        <v>220</v>
      </c>
      <c r="BB46" s="329">
        <v>60</v>
      </c>
      <c r="BC46" s="295"/>
      <c r="BD46" s="332">
        <v>0</v>
      </c>
      <c r="BE46" s="335">
        <v>6</v>
      </c>
      <c r="BF46" s="329">
        <v>6</v>
      </c>
      <c r="BG46" s="295">
        <v>714</v>
      </c>
      <c r="BH46" s="295"/>
      <c r="BI46" s="332">
        <f t="shared" si="1"/>
        <v>0</v>
      </c>
      <c r="BJ46" s="335">
        <f t="shared" si="2"/>
        <v>942480</v>
      </c>
      <c r="BK46" s="296">
        <f t="shared" si="5"/>
        <v>257040</v>
      </c>
    </row>
    <row r="47" spans="1:63">
      <c r="A47" s="303" t="s">
        <v>224</v>
      </c>
      <c r="B47" s="291"/>
      <c r="C47" s="292"/>
      <c r="D47" s="291"/>
      <c r="E47" s="291"/>
      <c r="F47" s="291"/>
      <c r="G47" s="291"/>
      <c r="H47" s="291"/>
      <c r="I47" s="291"/>
      <c r="J47" s="291"/>
      <c r="K47" s="291"/>
      <c r="L47" s="291"/>
      <c r="M47" s="291"/>
      <c r="N47" s="293"/>
      <c r="O47" s="292"/>
      <c r="P47" s="291"/>
      <c r="Q47" s="291"/>
      <c r="R47" s="291"/>
      <c r="S47" s="291"/>
      <c r="T47" s="291"/>
      <c r="U47" s="291"/>
      <c r="V47" s="291"/>
      <c r="W47" s="291"/>
      <c r="X47" s="291"/>
      <c r="Y47" s="291"/>
      <c r="Z47" s="293"/>
      <c r="AA47" s="292"/>
      <c r="AB47" s="291"/>
      <c r="AC47" s="304"/>
      <c r="AD47" s="304"/>
      <c r="AE47" s="304"/>
      <c r="AF47" s="291"/>
      <c r="AG47" s="291"/>
      <c r="AH47" s="291"/>
      <c r="AI47" s="291"/>
      <c r="AJ47" s="291"/>
      <c r="AK47" s="291"/>
      <c r="AL47" s="291"/>
      <c r="AM47" s="292"/>
      <c r="AN47" s="291"/>
      <c r="AO47" s="291"/>
      <c r="AP47" s="291"/>
      <c r="AQ47" s="304"/>
      <c r="AR47" s="304"/>
      <c r="AS47" s="304"/>
      <c r="AT47" s="291"/>
      <c r="AU47" s="291"/>
      <c r="AV47" s="291"/>
      <c r="AW47" s="291"/>
      <c r="AX47" s="293"/>
      <c r="AY47" s="294"/>
      <c r="AZ47" s="332">
        <v>0</v>
      </c>
      <c r="BA47" s="335">
        <v>80</v>
      </c>
      <c r="BB47" s="329">
        <v>60</v>
      </c>
      <c r="BC47" s="295"/>
      <c r="BD47" s="332">
        <v>0</v>
      </c>
      <c r="BE47" s="335">
        <v>3</v>
      </c>
      <c r="BF47" s="329">
        <v>4</v>
      </c>
      <c r="BG47" s="295">
        <v>650</v>
      </c>
      <c r="BH47" s="295"/>
      <c r="BI47" s="332">
        <f t="shared" si="1"/>
        <v>0</v>
      </c>
      <c r="BJ47" s="335">
        <f t="shared" si="2"/>
        <v>156000</v>
      </c>
      <c r="BK47" s="296">
        <f t="shared" si="5"/>
        <v>156000</v>
      </c>
    </row>
    <row r="48" spans="1:63">
      <c r="A48" s="306" t="s">
        <v>225</v>
      </c>
      <c r="B48" s="291"/>
      <c r="C48" s="292"/>
      <c r="D48" s="291"/>
      <c r="E48" s="291"/>
      <c r="F48" s="291"/>
      <c r="G48" s="291"/>
      <c r="H48" s="291"/>
      <c r="I48" s="291"/>
      <c r="J48" s="291"/>
      <c r="K48" s="291"/>
      <c r="L48" s="291"/>
      <c r="M48" s="291"/>
      <c r="N48" s="293"/>
      <c r="O48" s="292"/>
      <c r="P48" s="291"/>
      <c r="Q48" s="291"/>
      <c r="R48" s="291"/>
      <c r="S48" s="291"/>
      <c r="T48" s="291"/>
      <c r="U48" s="291"/>
      <c r="V48" s="291"/>
      <c r="W48" s="291"/>
      <c r="X48" s="291"/>
      <c r="Y48" s="291"/>
      <c r="Z48" s="291"/>
      <c r="AA48" s="292"/>
      <c r="AB48" s="291"/>
      <c r="AC48" s="291"/>
      <c r="AD48" s="291"/>
      <c r="AE48" s="307"/>
      <c r="AF48" s="307"/>
      <c r="AG48" s="309"/>
      <c r="AH48" s="309"/>
      <c r="AI48" s="309"/>
      <c r="AJ48" s="291"/>
      <c r="AK48" s="291"/>
      <c r="AL48" s="291"/>
      <c r="AM48" s="292"/>
      <c r="AN48" s="291"/>
      <c r="AO48" s="291"/>
      <c r="AP48" s="291"/>
      <c r="AQ48" s="291"/>
      <c r="AR48" s="307"/>
      <c r="AS48" s="307"/>
      <c r="AT48" s="307"/>
      <c r="AU48" s="307"/>
      <c r="AV48" s="291"/>
      <c r="AW48" s="291"/>
      <c r="AX48" s="293"/>
      <c r="AY48" s="294"/>
      <c r="AZ48" s="332">
        <v>0</v>
      </c>
      <c r="BA48" s="335">
        <v>100</v>
      </c>
      <c r="BB48" s="329">
        <v>80</v>
      </c>
      <c r="BC48" s="295"/>
      <c r="BD48" s="332">
        <v>0</v>
      </c>
      <c r="BE48" s="335">
        <v>2</v>
      </c>
      <c r="BF48" s="329">
        <v>2</v>
      </c>
      <c r="BG48" s="295">
        <v>550</v>
      </c>
      <c r="BH48" s="295"/>
      <c r="BI48" s="332">
        <f t="shared" si="1"/>
        <v>0</v>
      </c>
      <c r="BJ48" s="335">
        <f t="shared" si="2"/>
        <v>110000</v>
      </c>
      <c r="BK48" s="296">
        <f t="shared" si="5"/>
        <v>88000</v>
      </c>
    </row>
    <row r="49" spans="1:64">
      <c r="A49" s="290" t="s">
        <v>231</v>
      </c>
      <c r="B49" s="291"/>
      <c r="C49" s="292"/>
      <c r="D49" s="291"/>
      <c r="E49" s="291"/>
      <c r="F49" s="291"/>
      <c r="G49" s="291"/>
      <c r="H49" s="291"/>
      <c r="I49" s="291"/>
      <c r="J49" s="291"/>
      <c r="K49" s="291"/>
      <c r="L49" s="291"/>
      <c r="M49" s="291"/>
      <c r="N49" s="293"/>
      <c r="O49" s="291"/>
      <c r="P49" s="291"/>
      <c r="Q49" s="291"/>
      <c r="R49" s="291"/>
      <c r="S49" s="291"/>
      <c r="T49" s="291"/>
      <c r="U49" s="291"/>
      <c r="V49" s="291"/>
      <c r="W49" s="291"/>
      <c r="X49" s="291"/>
      <c r="Y49" s="291"/>
      <c r="Z49" s="293"/>
      <c r="AA49" s="292"/>
      <c r="AB49" s="291"/>
      <c r="AC49" s="291"/>
      <c r="AD49" s="291"/>
      <c r="AE49" s="291"/>
      <c r="AF49" s="291"/>
      <c r="AG49" s="291"/>
      <c r="AH49" s="291"/>
      <c r="AI49" s="291"/>
      <c r="AJ49" s="291"/>
      <c r="AK49" s="291"/>
      <c r="AL49" s="293"/>
      <c r="AM49" s="291"/>
      <c r="AN49" s="291"/>
      <c r="AO49" s="291"/>
      <c r="AP49" s="291"/>
      <c r="AQ49" s="291"/>
      <c r="AR49" s="291"/>
      <c r="AS49" s="291"/>
      <c r="AT49" s="291"/>
      <c r="AU49" s="291"/>
      <c r="AV49" s="291"/>
      <c r="AW49" s="291"/>
      <c r="AX49" s="293"/>
      <c r="AY49" s="294"/>
      <c r="AZ49" s="332"/>
      <c r="BA49" s="335"/>
      <c r="BB49" s="329"/>
      <c r="BC49" s="295"/>
      <c r="BD49" s="332"/>
      <c r="BE49" s="335"/>
      <c r="BF49" s="329"/>
      <c r="BG49" s="295"/>
      <c r="BH49" s="295"/>
      <c r="BI49" s="332">
        <f t="shared" si="1"/>
        <v>0</v>
      </c>
      <c r="BJ49" s="335">
        <f t="shared" si="2"/>
        <v>0</v>
      </c>
      <c r="BK49" s="296">
        <f t="shared" si="5"/>
        <v>0</v>
      </c>
    </row>
    <row r="50" spans="1:64">
      <c r="A50" s="311" t="s">
        <v>232</v>
      </c>
      <c r="B50" s="291"/>
      <c r="C50" s="292"/>
      <c r="D50" s="291"/>
      <c r="E50" s="291"/>
      <c r="F50" s="291"/>
      <c r="G50" s="291"/>
      <c r="H50" s="291"/>
      <c r="I50" s="291"/>
      <c r="J50" s="291"/>
      <c r="K50" s="291"/>
      <c r="L50" s="309"/>
      <c r="M50" s="309"/>
      <c r="N50" s="312"/>
      <c r="O50" s="292"/>
      <c r="P50" s="291"/>
      <c r="Q50" s="291"/>
      <c r="R50" s="291"/>
      <c r="S50" s="291"/>
      <c r="T50" s="291"/>
      <c r="U50" s="291"/>
      <c r="V50" s="291"/>
      <c r="W50" s="309"/>
      <c r="X50" s="309"/>
      <c r="Y50" s="309"/>
      <c r="Z50" s="312"/>
      <c r="AA50" s="309"/>
      <c r="AB50" s="309"/>
      <c r="AC50" s="309"/>
      <c r="AD50" s="309"/>
      <c r="AE50" s="309"/>
      <c r="AF50" s="309"/>
      <c r="AG50" s="291"/>
      <c r="AH50" s="291"/>
      <c r="AI50" s="291"/>
      <c r="AJ50" s="291"/>
      <c r="AK50" s="291"/>
      <c r="AL50" s="312"/>
      <c r="AM50" s="309"/>
      <c r="AN50" s="309"/>
      <c r="AO50" s="309"/>
      <c r="AP50" s="309"/>
      <c r="AQ50" s="309"/>
      <c r="AR50" s="309"/>
      <c r="AS50" s="309"/>
      <c r="AT50" s="309"/>
      <c r="AU50" s="309"/>
      <c r="AV50" s="291"/>
      <c r="AW50" s="291"/>
      <c r="AX50" s="293"/>
      <c r="AY50" s="294"/>
      <c r="AZ50" s="332">
        <v>60</v>
      </c>
      <c r="BA50" s="335">
        <v>180</v>
      </c>
      <c r="BB50" s="329">
        <v>200</v>
      </c>
      <c r="BC50" s="295"/>
      <c r="BD50" s="332">
        <v>2</v>
      </c>
      <c r="BE50" s="335">
        <v>3</v>
      </c>
      <c r="BF50" s="329">
        <v>3</v>
      </c>
      <c r="BG50" s="295">
        <v>650</v>
      </c>
      <c r="BH50" s="295"/>
      <c r="BI50" s="332">
        <f t="shared" si="1"/>
        <v>78000</v>
      </c>
      <c r="BJ50" s="335">
        <f t="shared" si="2"/>
        <v>351000</v>
      </c>
      <c r="BK50" s="296">
        <f t="shared" si="5"/>
        <v>390000</v>
      </c>
    </row>
    <row r="51" spans="1:64">
      <c r="A51" s="290" t="s">
        <v>233</v>
      </c>
      <c r="B51" s="291"/>
      <c r="C51" s="313"/>
      <c r="D51" s="314"/>
      <c r="E51" s="314"/>
      <c r="F51" s="314"/>
      <c r="G51" s="314"/>
      <c r="H51" s="314"/>
      <c r="I51" s="314"/>
      <c r="J51" s="314"/>
      <c r="K51" s="314"/>
      <c r="L51" s="314"/>
      <c r="M51" s="314"/>
      <c r="N51" s="315"/>
      <c r="O51" s="314"/>
      <c r="P51" s="314"/>
      <c r="Q51" s="314"/>
      <c r="R51" s="314"/>
      <c r="S51" s="314"/>
      <c r="T51" s="314"/>
      <c r="U51" s="314"/>
      <c r="V51" s="314"/>
      <c r="W51" s="314"/>
      <c r="X51" s="314"/>
      <c r="Y51" s="314"/>
      <c r="Z51" s="315"/>
      <c r="AA51" s="313"/>
      <c r="AB51" s="314"/>
      <c r="AC51" s="314"/>
      <c r="AD51" s="314"/>
      <c r="AE51" s="314"/>
      <c r="AF51" s="314"/>
      <c r="AG51" s="314"/>
      <c r="AH51" s="314"/>
      <c r="AI51" s="314"/>
      <c r="AJ51" s="314"/>
      <c r="AK51" s="314"/>
      <c r="AL51" s="315"/>
      <c r="AM51" s="314"/>
      <c r="AN51" s="314"/>
      <c r="AO51" s="314"/>
      <c r="AP51" s="314"/>
      <c r="AQ51" s="314"/>
      <c r="AR51" s="314"/>
      <c r="AS51" s="314"/>
      <c r="AT51" s="314"/>
      <c r="AU51" s="314"/>
      <c r="AV51" s="314"/>
      <c r="AW51" s="314"/>
      <c r="AX51" s="315"/>
      <c r="AY51" s="294">
        <v>0</v>
      </c>
      <c r="AZ51" s="332">
        <v>100</v>
      </c>
      <c r="BA51" s="335">
        <v>180</v>
      </c>
      <c r="BB51" s="329">
        <v>180</v>
      </c>
      <c r="BC51" s="295">
        <v>0</v>
      </c>
      <c r="BD51" s="332">
        <v>0.5</v>
      </c>
      <c r="BE51" s="335">
        <v>0.5</v>
      </c>
      <c r="BF51" s="329">
        <v>0.5</v>
      </c>
      <c r="BG51" s="295">
        <v>690</v>
      </c>
      <c r="BH51" s="295"/>
      <c r="BI51" s="332">
        <f t="shared" si="1"/>
        <v>34500</v>
      </c>
      <c r="BJ51" s="335">
        <f t="shared" si="2"/>
        <v>62100</v>
      </c>
      <c r="BK51" s="296">
        <f t="shared" si="5"/>
        <v>62100</v>
      </c>
    </row>
    <row r="52" spans="1:64">
      <c r="A52" s="290" t="s">
        <v>234</v>
      </c>
      <c r="B52" s="291"/>
      <c r="C52" s="292"/>
      <c r="D52" s="291"/>
      <c r="E52" s="291"/>
      <c r="F52" s="291"/>
      <c r="G52" s="291"/>
      <c r="H52" s="291"/>
      <c r="I52" s="291"/>
      <c r="J52" s="316"/>
      <c r="K52" s="316"/>
      <c r="L52" s="316"/>
      <c r="M52" s="291"/>
      <c r="N52" s="293"/>
      <c r="O52" s="291"/>
      <c r="P52" s="291"/>
      <c r="Q52" s="291"/>
      <c r="R52" s="291"/>
      <c r="S52" s="291"/>
      <c r="T52" s="291"/>
      <c r="U52" s="291"/>
      <c r="V52" s="291"/>
      <c r="W52" s="291"/>
      <c r="X52" s="291"/>
      <c r="Y52" s="291"/>
      <c r="Z52" s="293"/>
      <c r="AA52" s="292"/>
      <c r="AB52" s="291"/>
      <c r="AC52" s="291"/>
      <c r="AD52" s="291"/>
      <c r="AE52" s="291"/>
      <c r="AF52" s="291"/>
      <c r="AG52" s="291"/>
      <c r="AH52" s="316"/>
      <c r="AI52" s="316"/>
      <c r="AJ52" s="316"/>
      <c r="AK52" s="291"/>
      <c r="AL52" s="293"/>
      <c r="AM52" s="291"/>
      <c r="AN52" s="291"/>
      <c r="AO52" s="291"/>
      <c r="AP52" s="291"/>
      <c r="AQ52" s="316"/>
      <c r="AR52" s="316"/>
      <c r="AS52" s="316"/>
      <c r="AT52" s="316"/>
      <c r="AU52" s="291"/>
      <c r="AV52" s="291"/>
      <c r="AW52" s="291"/>
      <c r="AX52" s="293"/>
      <c r="AY52" s="294">
        <v>0</v>
      </c>
      <c r="AZ52" s="332">
        <v>60</v>
      </c>
      <c r="BA52" s="335">
        <v>60</v>
      </c>
      <c r="BB52" s="329">
        <v>80</v>
      </c>
      <c r="BC52" s="295">
        <v>0</v>
      </c>
      <c r="BD52" s="332">
        <v>1.5</v>
      </c>
      <c r="BE52" s="335">
        <v>1.5</v>
      </c>
      <c r="BF52" s="329">
        <v>1.5</v>
      </c>
      <c r="BG52" s="295">
        <v>450</v>
      </c>
      <c r="BH52" s="295"/>
      <c r="BI52" s="332">
        <f t="shared" si="1"/>
        <v>40500</v>
      </c>
      <c r="BJ52" s="335">
        <f t="shared" si="2"/>
        <v>40500</v>
      </c>
      <c r="BK52" s="296">
        <f t="shared" si="5"/>
        <v>54000</v>
      </c>
    </row>
    <row r="53" spans="1:64" ht="15.75" thickBot="1">
      <c r="A53" s="317" t="s">
        <v>235</v>
      </c>
      <c r="B53" s="318"/>
      <c r="C53" s="319"/>
      <c r="D53" s="320"/>
      <c r="E53" s="320"/>
      <c r="F53" s="320"/>
      <c r="G53" s="320"/>
      <c r="H53" s="320"/>
      <c r="I53" s="320"/>
      <c r="J53" s="320"/>
      <c r="K53" s="320"/>
      <c r="L53" s="320"/>
      <c r="M53" s="320"/>
      <c r="N53" s="321"/>
      <c r="O53" s="320"/>
      <c r="P53" s="320"/>
      <c r="Q53" s="320"/>
      <c r="R53" s="320"/>
      <c r="S53" s="320"/>
      <c r="T53" s="320"/>
      <c r="U53" s="320"/>
      <c r="V53" s="320"/>
      <c r="W53" s="320"/>
      <c r="X53" s="320"/>
      <c r="Y53" s="320"/>
      <c r="Z53" s="321"/>
      <c r="AA53" s="319"/>
      <c r="AB53" s="320"/>
      <c r="AC53" s="320"/>
      <c r="AD53" s="320"/>
      <c r="AE53" s="320"/>
      <c r="AF53" s="320"/>
      <c r="AG53" s="320"/>
      <c r="AH53" s="320"/>
      <c r="AI53" s="320"/>
      <c r="AJ53" s="320"/>
      <c r="AK53" s="320"/>
      <c r="AL53" s="321"/>
      <c r="AM53" s="320"/>
      <c r="AN53" s="320"/>
      <c r="AO53" s="320"/>
      <c r="AP53" s="320"/>
      <c r="AQ53" s="320"/>
      <c r="AR53" s="320"/>
      <c r="AS53" s="320"/>
      <c r="AT53" s="320"/>
      <c r="AU53" s="320"/>
      <c r="AV53" s="320"/>
      <c r="AW53" s="320"/>
      <c r="AX53" s="321"/>
      <c r="AY53" s="322">
        <v>0</v>
      </c>
      <c r="AZ53" s="332">
        <v>60</v>
      </c>
      <c r="BA53" s="335">
        <v>180</v>
      </c>
      <c r="BB53" s="329">
        <v>200</v>
      </c>
      <c r="BC53" s="323">
        <v>0</v>
      </c>
      <c r="BD53" s="334">
        <v>2</v>
      </c>
      <c r="BE53" s="336">
        <v>3</v>
      </c>
      <c r="BF53" s="330">
        <v>3</v>
      </c>
      <c r="BG53" s="323">
        <v>690</v>
      </c>
      <c r="BH53" s="323"/>
      <c r="BI53" s="332">
        <f t="shared" si="1"/>
        <v>82800</v>
      </c>
      <c r="BJ53" s="335">
        <f t="shared" si="2"/>
        <v>372600</v>
      </c>
      <c r="BK53" s="296">
        <f t="shared" si="5"/>
        <v>414000</v>
      </c>
    </row>
    <row r="54" spans="1:64" ht="15.75" thickBot="1">
      <c r="A54" s="324" t="s">
        <v>236</v>
      </c>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6">
        <f t="shared" ref="BI54:BJ54" si="6">SUM(BI4:BI53)</f>
        <v>6014480</v>
      </c>
      <c r="BJ54" s="326">
        <f t="shared" si="6"/>
        <v>8011240</v>
      </c>
      <c r="BK54" s="326">
        <f>SUM(BK4:BK53)</f>
        <v>5866900</v>
      </c>
      <c r="BL54" s="337">
        <f>SUM(BI54:BK54)</f>
        <v>19892620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A14" sqref="A14"/>
    </sheetView>
  </sheetViews>
  <sheetFormatPr defaultColWidth="8.85546875" defaultRowHeight="15"/>
  <cols>
    <col min="1" max="1" width="53.85546875" bestFit="1" customWidth="1"/>
    <col min="2" max="3" width="18.28515625" customWidth="1"/>
  </cols>
  <sheetData>
    <row r="1" spans="1:3">
      <c r="A1" s="252" t="s">
        <v>165</v>
      </c>
      <c r="B1" s="252" t="s">
        <v>172</v>
      </c>
      <c r="C1" s="252" t="s">
        <v>173</v>
      </c>
    </row>
    <row r="2" spans="1:3" ht="36">
      <c r="A2" s="255" t="s">
        <v>176</v>
      </c>
      <c r="B2" s="253"/>
      <c r="C2" s="253"/>
    </row>
    <row r="3" spans="1:3" ht="24">
      <c r="A3" s="255" t="s">
        <v>175</v>
      </c>
      <c r="B3" s="253"/>
      <c r="C3" s="253"/>
    </row>
    <row r="4" spans="1:3" ht="24">
      <c r="A4" s="255" t="s">
        <v>174</v>
      </c>
      <c r="B4" s="253"/>
      <c r="C4" s="253"/>
    </row>
    <row r="5" spans="1:3" ht="24">
      <c r="A5" s="255" t="s">
        <v>171</v>
      </c>
      <c r="B5" s="253"/>
      <c r="C5" s="253"/>
    </row>
    <row r="6" spans="1:3">
      <c r="A6" s="255" t="s">
        <v>170</v>
      </c>
      <c r="B6" s="253"/>
      <c r="C6" s="253"/>
    </row>
    <row r="7" spans="1:3" ht="24">
      <c r="A7" s="255" t="s">
        <v>169</v>
      </c>
      <c r="B7" s="253"/>
      <c r="C7" s="253"/>
    </row>
    <row r="8" spans="1:3">
      <c r="A8" s="255" t="s">
        <v>168</v>
      </c>
      <c r="B8" s="253"/>
      <c r="C8" s="253"/>
    </row>
    <row r="9" spans="1:3" ht="36">
      <c r="A9" s="255" t="s">
        <v>167</v>
      </c>
      <c r="B9" s="253"/>
      <c r="C9" s="253"/>
    </row>
    <row r="10" spans="1:3">
      <c r="A10" s="254" t="s">
        <v>166</v>
      </c>
      <c r="B10" s="253"/>
      <c r="C10" s="253"/>
    </row>
    <row r="11" spans="1:3">
      <c r="A11" s="258" t="s">
        <v>181</v>
      </c>
      <c r="B11" s="257"/>
      <c r="C11" s="257"/>
    </row>
    <row r="12" spans="1:3" ht="36">
      <c r="A12" s="256" t="s">
        <v>180</v>
      </c>
      <c r="B12" s="253"/>
      <c r="C12" s="253"/>
    </row>
    <row r="13" spans="1:3">
      <c r="A13" s="256" t="s">
        <v>191</v>
      </c>
      <c r="B13" s="253"/>
      <c r="C13" s="253"/>
    </row>
    <row r="14" spans="1:3" ht="36">
      <c r="A14" s="256" t="s">
        <v>179</v>
      </c>
      <c r="B14" s="253"/>
      <c r="C14" s="253"/>
    </row>
    <row r="15" spans="1:3" ht="24">
      <c r="A15" s="256" t="s">
        <v>178</v>
      </c>
      <c r="B15" s="253"/>
      <c r="C15" s="253"/>
    </row>
    <row r="16" spans="1:3" ht="36">
      <c r="A16" s="256" t="s">
        <v>177</v>
      </c>
      <c r="B16" s="253"/>
      <c r="C16" s="253"/>
    </row>
    <row r="17" spans="1:1">
      <c r="A17" s="256"/>
    </row>
    <row r="18" spans="1:1">
      <c r="A18" s="256"/>
    </row>
    <row r="19" spans="1:1">
      <c r="A19" s="256"/>
    </row>
    <row r="20" spans="1:1">
      <c r="A20" s="256"/>
    </row>
    <row r="21" spans="1:1">
      <c r="A21" s="256"/>
    </row>
    <row r="22" spans="1:1">
      <c r="A22" s="256"/>
    </row>
    <row r="23" spans="1:1">
      <c r="A23" s="256"/>
    </row>
    <row r="24" spans="1:1">
      <c r="A24" s="256"/>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14</vt:i4>
      </vt:variant>
    </vt:vector>
  </HeadingPairs>
  <TitlesOfParts>
    <vt:vector size="14" baseType="lpstr">
      <vt:lpstr>Úvod</vt:lpstr>
      <vt:lpstr>CBA - Agendové IS</vt:lpstr>
      <vt:lpstr>Analyza citlivosti - AgendovéIS</vt:lpstr>
      <vt:lpstr>Prínosy - Agendové IS</vt:lpstr>
      <vt:lpstr>Výdavky - Agendové IS</vt:lpstr>
      <vt:lpstr>Spotrebované cloudové služby</vt:lpstr>
      <vt:lpstr>Parametre - Agendové IS</vt:lpstr>
      <vt:lpstr>TCO</vt:lpstr>
      <vt:lpstr>TCO - SW</vt:lpstr>
      <vt:lpstr>TCO - HW</vt:lpstr>
      <vt:lpstr>Faktory</vt:lpstr>
      <vt:lpstr>Fazovane CBA</vt:lpstr>
      <vt:lpstr>Indikatívny rozpočet</vt:lpstr>
      <vt:lpstr>Kvalitatívne prínosy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2018-03-05T08:16:13Z</dcterms:created>
  <dcterms:modified xsi:type="dcterms:W3CDTF">2018-03-05T08:18:52Z</dcterms:modified>
</cp:coreProperties>
</file>